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Water Rates\Phase II\Community Outreach\"/>
    </mc:Choice>
  </mc:AlternateContent>
  <bookViews>
    <workbookView xWindow="0" yWindow="0" windowWidth="21570" windowHeight="10215" activeTab="2"/>
  </bookViews>
  <sheets>
    <sheet name="Single Family &amp; Duplexes" sheetId="1" r:id="rId1"/>
    <sheet name="Multi Family 3+ units" sheetId="4" r:id="rId2"/>
    <sheet name="Commmercial" sheetId="5" r:id="rId3"/>
    <sheet name="Rates_DO NOT DELETE" sheetId="2" state="hidden" r:id="rId4"/>
  </sheets>
  <definedNames>
    <definedName name="budget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_xlnm.Print_Area" localSheetId="2">Commmercial!#REF!</definedName>
    <definedName name="_xlnm.Print_Area" localSheetId="1">'Multi Family 3+ units'!#REF!</definedName>
    <definedName name="_xlnm.Print_Area" localSheetId="3">'Rates_DO NOT DELETE'!$A$1:$E$26</definedName>
    <definedName name="_xlnm.Print_Area" localSheetId="0">'Single Family &amp; Duplexes'!$B$2:$G$34</definedName>
    <definedName name="summary2" localSheetId="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localSheetId="1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localSheetId="0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Budget.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localSheetId="0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Dept.._.Summary." localSheetId="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localSheetId="1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localSheetId="0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Prelim." localSheetId="2" hidden="1">{"Exh. 1",#N/A,FALSE,"Current";"Exh. 3",#N/A,FALSE,"SrvChrg";"Exh. 4",#N/A,FALSE,"CumUse";"Exh. 5",#N/A,FALSE,"UseChar";"Exh. 6",#N/A,FALSE,"Current";"Exh. 7",#N/A,FALSE,"UseChar";"Exh. 8",#N/A,FALSE,"List"}</definedName>
    <definedName name="wrn.Prelim." localSheetId="1" hidden="1">{"Exh. 1",#N/A,FALSE,"Current";"Exh. 3",#N/A,FALSE,"SrvChrg";"Exh. 4",#N/A,FALSE,"CumUse";"Exh. 5",#N/A,FALSE,"UseChar";"Exh. 6",#N/A,FALSE,"Current";"Exh. 7",#N/A,FALSE,"UseChar";"Exh. 8",#N/A,FALSE,"List"}</definedName>
    <definedName name="wrn.Prelim." localSheetId="0" hidden="1">{"Exh. 1",#N/A,FALSE,"Current";"Exh. 3",#N/A,FALSE,"SrvChrg";"Exh. 4",#N/A,FALSE,"CumUse";"Exh. 5",#N/A,FALSE,"UseChar";"Exh. 6",#N/A,FALSE,"Current";"Exh. 7",#N/A,FALSE,"UseChar";"Exh. 8",#N/A,FALSE,"List"}</definedName>
    <definedName name="wrn.Prelim." hidden="1">{"Exh. 1",#N/A,FALSE,"Current";"Exh. 3",#N/A,FALSE,"SrvChrg";"Exh. 4",#N/A,FALSE,"CumUse";"Exh. 5",#N/A,FALSE,"UseChar";"Exh. 6",#N/A,FALSE,"Current";"Exh. 7",#N/A,FALSE,"UseChar";"Exh. 8",#N/A,FALSE,"List"}</definedName>
    <definedName name="wrn.Rate._.Calcs." localSheetId="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eport._.Exhibits." localSheetId="2" hidden="1">{"Exh 8",#N/A,FALSE,"UseChar";"Exh 7",#N/A,FALSE,"Alts";"Exh 5",#N/A,FALSE,"UseChar"}</definedName>
    <definedName name="wrn.Report._.Exhibits." localSheetId="1" hidden="1">{"Exh 8",#N/A,FALSE,"UseChar";"Exh 7",#N/A,FALSE,"Alts";"Exh 5",#N/A,FALSE,"UseChar"}</definedName>
    <definedName name="wrn.Report._.Exhibits." localSheetId="0" hidden="1">{"Exh 8",#N/A,FALSE,"UseChar";"Exh 7",#N/A,FALSE,"Alts";"Exh 5",#N/A,FALSE,"UseChar"}</definedName>
    <definedName name="wrn.Report._.Exhibits." hidden="1">{"Exh 8",#N/A,FALSE,"UseChar";"Exh 7",#N/A,FALSE,"Alts";"Exh 5",#N/A,FALSE,"UseChar"}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E19" i="5"/>
  <c r="E12" i="5"/>
  <c r="D19" i="4"/>
  <c r="D25" i="4"/>
  <c r="D20" i="4"/>
  <c r="D12" i="4"/>
  <c r="D18" i="1"/>
  <c r="F30" i="1"/>
  <c r="D24" i="1" l="1"/>
  <c r="D21" i="1"/>
  <c r="D20" i="1"/>
  <c r="D19" i="1"/>
  <c r="D11" i="1"/>
  <c r="P22" i="2" l="1"/>
  <c r="P21" i="2"/>
  <c r="P20" i="2"/>
  <c r="O23" i="2"/>
  <c r="O22" i="2"/>
  <c r="O21" i="2"/>
  <c r="O20" i="2"/>
  <c r="N23" i="2"/>
  <c r="N22" i="2"/>
  <c r="N21" i="2"/>
  <c r="N20" i="2"/>
  <c r="M23" i="2"/>
  <c r="M22" i="2"/>
  <c r="M21" i="2"/>
  <c r="M20" i="2"/>
  <c r="L21" i="2"/>
  <c r="L22" i="2"/>
  <c r="L23" i="2"/>
  <c r="L20" i="2"/>
  <c r="E21" i="1" l="1"/>
  <c r="E18" i="1"/>
  <c r="E19" i="1" s="1"/>
  <c r="E20" i="1" s="1"/>
  <c r="D27" i="5" l="1"/>
  <c r="D26" i="5"/>
  <c r="C30" i="1"/>
  <c r="C30" i="4"/>
  <c r="C29" i="1"/>
  <c r="C31" i="4"/>
  <c r="F32" i="5"/>
  <c r="G32" i="5" s="1"/>
  <c r="E32" i="5"/>
  <c r="D32" i="5"/>
  <c r="G31" i="5"/>
  <c r="F31" i="5"/>
  <c r="E31" i="5"/>
  <c r="F29" i="5"/>
  <c r="E29" i="5"/>
  <c r="G28" i="5"/>
  <c r="F28" i="5"/>
  <c r="E28" i="5"/>
  <c r="D28" i="5"/>
  <c r="G26" i="5"/>
  <c r="G16" i="5"/>
  <c r="F31" i="4"/>
  <c r="E31" i="4"/>
  <c r="E30" i="1"/>
  <c r="F29" i="1"/>
  <c r="F15" i="1"/>
  <c r="G29" i="5" l="1"/>
  <c r="G34" i="5" s="1"/>
  <c r="F31" i="1"/>
  <c r="F19" i="5"/>
  <c r="F21" i="5" s="1"/>
  <c r="G21" i="5" s="1"/>
  <c r="E16" i="5"/>
  <c r="F22" i="4"/>
  <c r="E22" i="4"/>
  <c r="D16" i="4"/>
  <c r="D15" i="1"/>
  <c r="F16" i="4" l="1"/>
  <c r="F30" i="4"/>
  <c r="F32" i="4" s="1"/>
  <c r="F21" i="1"/>
  <c r="G19" i="5"/>
  <c r="G23" i="5" s="1"/>
  <c r="D10" i="4"/>
  <c r="F18" i="1"/>
  <c r="F20" i="1"/>
  <c r="F19" i="1"/>
  <c r="E20" i="4" l="1"/>
  <c r="F20" i="4" s="1"/>
  <c r="E19" i="4"/>
  <c r="G36" i="5"/>
  <c r="E22" i="1"/>
  <c r="E24" i="1" s="1"/>
  <c r="F24" i="1" s="1"/>
  <c r="F22" i="1"/>
  <c r="F26" i="1" l="1"/>
  <c r="F19" i="4"/>
  <c r="F33" i="1" l="1"/>
  <c r="E21" i="4"/>
  <c r="E23" i="4" s="1"/>
  <c r="E25" i="4" s="1"/>
  <c r="F25" i="4" s="1"/>
  <c r="F21" i="4"/>
  <c r="F23" i="4" s="1"/>
  <c r="F27" i="4" l="1"/>
  <c r="F34" i="4" s="1"/>
</calcChain>
</file>

<file path=xl/sharedStrings.xml><?xml version="1.0" encoding="utf-8"?>
<sst xmlns="http://schemas.openxmlformats.org/spreadsheetml/2006/main" count="174" uniqueCount="85">
  <si>
    <t>Single Family &amp; Duplex</t>
  </si>
  <si>
    <t>Multi Family (3 + units)</t>
  </si>
  <si>
    <t>Commercial</t>
  </si>
  <si>
    <t>INPUTS</t>
  </si>
  <si>
    <r>
      <rPr>
        <b/>
        <sz val="11"/>
        <color rgb="FFFF0000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>Select Customer Type</t>
    </r>
  </si>
  <si>
    <r>
      <rPr>
        <b/>
        <sz val="11"/>
        <color rgb="FFFF0000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>Select Service Area</t>
    </r>
  </si>
  <si>
    <r>
      <rPr>
        <b/>
        <sz val="11"/>
        <color rgb="FFFF0000"/>
        <rFont val="Calibri"/>
        <family val="2"/>
        <scheme val="minor"/>
      </rPr>
      <t xml:space="preserve">2.  </t>
    </r>
    <r>
      <rPr>
        <b/>
        <sz val="11"/>
        <color theme="1"/>
        <rFont val="Calibri"/>
        <family val="2"/>
        <scheme val="minor"/>
      </rPr>
      <t>Select Service Area</t>
    </r>
  </si>
  <si>
    <t>be complete for a</t>
  </si>
  <si>
    <r>
      <rPr>
        <b/>
        <sz val="11"/>
        <color rgb="FFFF0000"/>
        <rFont val="Calibri"/>
        <family val="2"/>
        <scheme val="minor"/>
      </rPr>
      <t xml:space="preserve">2. </t>
    </r>
    <r>
      <rPr>
        <b/>
        <sz val="11"/>
        <color theme="1"/>
        <rFont val="Calibri"/>
        <family val="2"/>
        <scheme val="minor"/>
      </rPr>
      <t xml:space="preserve"> Select Meter Size</t>
    </r>
  </si>
  <si>
    <t>1"</t>
  </si>
  <si>
    <r>
      <rPr>
        <b/>
        <sz val="11"/>
        <color rgb="FFFF0000"/>
        <rFont val="Calibri"/>
        <family val="2"/>
        <scheme val="minor"/>
      </rPr>
      <t xml:space="preserve">3. </t>
    </r>
    <r>
      <rPr>
        <b/>
        <sz val="11"/>
        <color theme="1"/>
        <rFont val="Calibri"/>
        <family val="2"/>
        <scheme val="minor"/>
      </rPr>
      <t xml:space="preserve"> Select Meter Size</t>
    </r>
  </si>
  <si>
    <t>bill to calculate</t>
  </si>
  <si>
    <r>
      <rPr>
        <b/>
        <sz val="11"/>
        <color rgb="FFFF0000"/>
        <rFont val="Calibri"/>
        <family val="2"/>
        <scheme val="minor"/>
      </rPr>
      <t xml:space="preserve">3.  </t>
    </r>
    <r>
      <rPr>
        <b/>
        <sz val="11"/>
        <color theme="1"/>
        <rFont val="Calibri"/>
        <family val="2"/>
        <scheme val="minor"/>
      </rPr>
      <t>Enter Bi-Monthly Water Use</t>
    </r>
    <r>
      <rPr>
        <sz val="11"/>
        <color theme="1"/>
        <rFont val="Calibri"/>
        <family val="2"/>
        <scheme val="minor"/>
      </rPr>
      <t xml:space="preserve"> (hcf)</t>
    </r>
  </si>
  <si>
    <r>
      <rPr>
        <b/>
        <sz val="11"/>
        <color rgb="FFFF0000"/>
        <rFont val="Calibri"/>
        <family val="2"/>
        <scheme val="minor"/>
      </rPr>
      <t xml:space="preserve">4.  </t>
    </r>
    <r>
      <rPr>
        <b/>
        <sz val="11"/>
        <color theme="1"/>
        <rFont val="Calibri"/>
        <family val="2"/>
        <scheme val="minor"/>
      </rPr>
      <t>Enter Bi-Monthly Water Use</t>
    </r>
    <r>
      <rPr>
        <sz val="11"/>
        <color theme="1"/>
        <rFont val="Calibri"/>
        <family val="2"/>
        <scheme val="minor"/>
      </rPr>
      <t xml:space="preserve"> (hcf)</t>
    </r>
  </si>
  <si>
    <r>
      <rPr>
        <b/>
        <sz val="11"/>
        <color rgb="FFFF0000"/>
        <rFont val="Calibri"/>
        <family val="2"/>
        <scheme val="minor"/>
      </rPr>
      <t>4.</t>
    </r>
    <r>
      <rPr>
        <b/>
        <sz val="11"/>
        <color theme="1"/>
        <rFont val="Calibri"/>
        <family val="2"/>
        <scheme val="minor"/>
      </rPr>
      <t xml:space="preserve">  Input # of Dwelling Units</t>
    </r>
    <r>
      <rPr>
        <sz val="11"/>
        <color theme="1"/>
        <rFont val="Calibri"/>
        <family val="2"/>
        <scheme val="minor"/>
      </rPr>
      <t xml:space="preserve"> (DUs)</t>
    </r>
  </si>
  <si>
    <r>
      <rPr>
        <b/>
        <sz val="11"/>
        <color rgb="FFFF0000"/>
        <rFont val="Calibri"/>
        <family val="2"/>
        <scheme val="minor"/>
      </rPr>
      <t xml:space="preserve">4.  </t>
    </r>
    <r>
      <rPr>
        <b/>
        <sz val="11"/>
        <color theme="1"/>
        <rFont val="Calibri"/>
        <family val="2"/>
        <scheme val="minor"/>
      </rPr>
      <t>Subject to Sewer Strength Surcharge?</t>
    </r>
  </si>
  <si>
    <t>Yes</t>
  </si>
  <si>
    <t>(current bill will indicate if your account is subject to the strength surcharge)</t>
  </si>
  <si>
    <t>Water Charges</t>
  </si>
  <si>
    <t>Meter Charge</t>
  </si>
  <si>
    <t>Quantity Charge</t>
  </si>
  <si>
    <t>Rate ($/hcf)</t>
  </si>
  <si>
    <t>hcf</t>
  </si>
  <si>
    <t>Charge</t>
  </si>
  <si>
    <t>Charge per DU</t>
  </si>
  <si>
    <t>TOTAL BI-MONTHLY WATER CHARGES</t>
  </si>
  <si>
    <t>Sewer Charges</t>
  </si>
  <si>
    <t>x # of Dwelling Units</t>
  </si>
  <si>
    <t xml:space="preserve">Total </t>
  </si>
  <si>
    <t>TOTAL BI-MONTHLY SEWER CHARGES</t>
  </si>
  <si>
    <t>TOTAL BI-MONTHLY CHARGES</t>
  </si>
  <si>
    <t xml:space="preserve"> </t>
  </si>
  <si>
    <t>Do not delete</t>
  </si>
  <si>
    <t>No</t>
  </si>
  <si>
    <t>Current</t>
  </si>
  <si>
    <t>Single Family</t>
  </si>
  <si>
    <t>1 1/2"</t>
  </si>
  <si>
    <t>2"</t>
  </si>
  <si>
    <t>3"</t>
  </si>
  <si>
    <t>4"</t>
  </si>
  <si>
    <t>6"</t>
  </si>
  <si>
    <t>Multi Family</t>
  </si>
  <si>
    <t>Tier 1</t>
  </si>
  <si>
    <t>Tier 2</t>
  </si>
  <si>
    <t>Tier 3</t>
  </si>
  <si>
    <t>Tier 4</t>
  </si>
  <si>
    <t>Proposed</t>
  </si>
  <si>
    <t>Meter Size</t>
  </si>
  <si>
    <t/>
  </si>
  <si>
    <t>Inside City</t>
  </si>
  <si>
    <t>Outside City</t>
  </si>
  <si>
    <t>Break Points</t>
  </si>
  <si>
    <r>
      <rPr>
        <b/>
        <sz val="11"/>
        <color theme="1"/>
        <rFont val="Calibri"/>
        <family val="2"/>
        <scheme val="minor"/>
      </rPr>
      <t xml:space="preserve">Tier 1: </t>
    </r>
    <r>
      <rPr>
        <sz val="11"/>
        <color theme="1"/>
        <rFont val="Calibri"/>
        <family val="2"/>
        <scheme val="minor"/>
      </rPr>
      <t xml:space="preserve">  &lt;=26 hcf</t>
    </r>
  </si>
  <si>
    <r>
      <rPr>
        <b/>
        <sz val="11"/>
        <color theme="1"/>
        <rFont val="Calibri"/>
        <family val="2"/>
        <scheme val="minor"/>
      </rPr>
      <t>Tier 2:</t>
    </r>
    <r>
      <rPr>
        <sz val="11"/>
        <color theme="1"/>
        <rFont val="Calibri"/>
        <family val="2"/>
        <scheme val="minor"/>
      </rPr>
      <t xml:space="preserve">   27 to 48 hcf</t>
    </r>
  </si>
  <si>
    <r>
      <rPr>
        <b/>
        <sz val="11"/>
        <color theme="1"/>
        <rFont val="Calibri"/>
        <family val="2"/>
        <scheme val="minor"/>
      </rPr>
      <t>Tier 3:</t>
    </r>
    <r>
      <rPr>
        <sz val="11"/>
        <color theme="1"/>
        <rFont val="Calibri"/>
        <family val="2"/>
        <scheme val="minor"/>
      </rPr>
      <t xml:space="preserve">   49 to 86 hcf</t>
    </r>
  </si>
  <si>
    <r>
      <rPr>
        <b/>
        <sz val="11"/>
        <color theme="1"/>
        <rFont val="Calibri"/>
        <family val="2"/>
        <scheme val="minor"/>
      </rPr>
      <t>Tier 4:</t>
    </r>
    <r>
      <rPr>
        <sz val="11"/>
        <color theme="1"/>
        <rFont val="Calibri"/>
        <family val="2"/>
        <scheme val="minor"/>
      </rPr>
      <t xml:space="preserve">   87+ hcf</t>
    </r>
  </si>
  <si>
    <r>
      <rPr>
        <b/>
        <sz val="11"/>
        <color theme="1"/>
        <rFont val="Calibri"/>
        <family val="2"/>
        <scheme val="minor"/>
      </rPr>
      <t xml:space="preserve">Tier 1:   </t>
    </r>
    <r>
      <rPr>
        <sz val="11"/>
        <color theme="1"/>
        <rFont val="Calibri"/>
        <family val="2"/>
        <scheme val="minor"/>
      </rPr>
      <t>&lt;=8 hcf per DU</t>
    </r>
  </si>
  <si>
    <r>
      <rPr>
        <b/>
        <sz val="11"/>
        <color theme="1"/>
        <rFont val="Calibri"/>
        <family val="2"/>
        <scheme val="minor"/>
      </rPr>
      <t xml:space="preserve">Tier 2:  </t>
    </r>
    <r>
      <rPr>
        <sz val="11"/>
        <color theme="1"/>
        <rFont val="Calibri"/>
        <family val="2"/>
        <scheme val="minor"/>
      </rPr>
      <t xml:space="preserve"> 9+ hcf per DU</t>
    </r>
  </si>
  <si>
    <t>Water Reliability Charge</t>
  </si>
  <si>
    <t>Water Reliability</t>
  </si>
  <si>
    <t>Shortage Reductions By Class</t>
  </si>
  <si>
    <t xml:space="preserve">Stage A </t>
  </si>
  <si>
    <t>Stage B</t>
  </si>
  <si>
    <t>Stage C</t>
  </si>
  <si>
    <t>Stage D</t>
  </si>
  <si>
    <t>Stage E</t>
  </si>
  <si>
    <t>Class</t>
  </si>
  <si>
    <t>5% Reduction</t>
  </si>
  <si>
    <t>10% Reduction</t>
  </si>
  <si>
    <t>20% Reduction</t>
  </si>
  <si>
    <t>30% Reduction</t>
  </si>
  <si>
    <t>50% Reduction</t>
  </si>
  <si>
    <t>SFR</t>
  </si>
  <si>
    <t>MFR</t>
  </si>
  <si>
    <t>Irrigation</t>
  </si>
  <si>
    <t>Revenue Stabilization Factors By Class</t>
  </si>
  <si>
    <t>To be applied to the non-shortage rates in effect prior to the shortage has been declared.</t>
  </si>
  <si>
    <r>
      <rPr>
        <b/>
        <sz val="11"/>
        <color rgb="FFFF0000"/>
        <rFont val="Calibri"/>
        <family val="2"/>
        <scheme val="minor"/>
      </rPr>
      <t xml:space="preserve">5. </t>
    </r>
    <r>
      <rPr>
        <b/>
        <sz val="11"/>
        <color theme="1"/>
        <rFont val="Calibri"/>
        <family val="2"/>
        <scheme val="minor"/>
      </rPr>
      <t xml:space="preserve"> Water Shortage Stage</t>
    </r>
  </si>
  <si>
    <t>None</t>
  </si>
  <si>
    <t>Required water use cutback:</t>
  </si>
  <si>
    <t>All five fields must</t>
  </si>
  <si>
    <t>Comm</t>
  </si>
  <si>
    <t>Irr</t>
  </si>
  <si>
    <t>Stage A</t>
  </si>
  <si>
    <t>Average water use per 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</si>
</sst>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Geneva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0" fillId="2" borderId="8" xfId="0" applyFill="1" applyBorder="1"/>
    <xf numFmtId="0" fontId="3" fillId="4" borderId="4" xfId="0" applyFont="1" applyFill="1" applyBorder="1" applyAlignment="1">
      <alignment horizontal="left" indent="1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left" indent="2"/>
    </xf>
    <xf numFmtId="0" fontId="0" fillId="4" borderId="8" xfId="0" applyFill="1" applyBorder="1" applyAlignment="1">
      <alignment horizontal="left" indent="2"/>
    </xf>
    <xf numFmtId="0" fontId="0" fillId="4" borderId="8" xfId="0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3" fontId="2" fillId="2" borderId="9" xfId="2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/>
    <xf numFmtId="0" fontId="0" fillId="4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6" fillId="4" borderId="11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8" fontId="3" fillId="2" borderId="1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2"/>
    </xf>
    <xf numFmtId="164" fontId="0" fillId="5" borderId="0" xfId="0" applyNumberFormat="1" applyFont="1" applyFill="1" applyBorder="1"/>
    <xf numFmtId="0" fontId="0" fillId="2" borderId="0" xfId="0" applyFont="1" applyFill="1" applyBorder="1" applyAlignment="1">
      <alignment horizontal="left" indent="3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 indent="4"/>
    </xf>
    <xf numFmtId="164" fontId="0" fillId="2" borderId="0" xfId="0" applyNumberFormat="1" applyFill="1" applyBorder="1" applyAlignment="1">
      <alignment horizontal="right" indent="4"/>
    </xf>
    <xf numFmtId="3" fontId="0" fillId="2" borderId="0" xfId="2" applyNumberFormat="1" applyFont="1" applyFill="1" applyBorder="1" applyAlignment="1">
      <alignment horizontal="right" indent="2"/>
    </xf>
    <xf numFmtId="164" fontId="0" fillId="2" borderId="0" xfId="0" applyNumberFormat="1" applyFill="1" applyBorder="1"/>
    <xf numFmtId="4" fontId="0" fillId="2" borderId="0" xfId="2" applyNumberFormat="1" applyFont="1" applyFill="1" applyBorder="1" applyAlignment="1">
      <alignment horizontal="right" indent="2"/>
    </xf>
    <xf numFmtId="0" fontId="0" fillId="2" borderId="0" xfId="0" applyFill="1" applyBorder="1" applyAlignment="1">
      <alignment horizontal="left" indent="3"/>
    </xf>
    <xf numFmtId="164" fontId="0" fillId="5" borderId="0" xfId="0" applyNumberFormat="1" applyFill="1" applyBorder="1"/>
    <xf numFmtId="3" fontId="0" fillId="2" borderId="15" xfId="2" applyNumberFormat="1" applyFont="1" applyFill="1" applyBorder="1" applyAlignment="1">
      <alignment horizontal="right" indent="2"/>
    </xf>
    <xf numFmtId="164" fontId="0" fillId="2" borderId="15" xfId="0" applyNumberFormat="1" applyFill="1" applyBorder="1"/>
    <xf numFmtId="0" fontId="3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64" fontId="3" fillId="5" borderId="0" xfId="0" applyNumberFormat="1" applyFont="1" applyFill="1" applyBorder="1"/>
    <xf numFmtId="4" fontId="0" fillId="2" borderId="15" xfId="2" applyNumberFormat="1" applyFont="1" applyFill="1" applyBorder="1" applyAlignment="1">
      <alignment horizontal="right" indent="2"/>
    </xf>
    <xf numFmtId="164" fontId="3" fillId="5" borderId="0" xfId="0" applyNumberFormat="1" applyFont="1" applyFill="1" applyBorder="1" applyAlignment="1">
      <alignment horizontal="right"/>
    </xf>
    <xf numFmtId="0" fontId="0" fillId="2" borderId="15" xfId="0" applyFill="1" applyBorder="1"/>
    <xf numFmtId="164" fontId="3" fillId="6" borderId="0" xfId="0" applyNumberFormat="1" applyFont="1" applyFill="1" applyBorder="1" applyAlignment="1">
      <alignment horizontal="right"/>
    </xf>
    <xf numFmtId="8" fontId="3" fillId="2" borderId="0" xfId="0" applyNumberFormat="1" applyFont="1" applyFill="1" applyBorder="1"/>
    <xf numFmtId="8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4" fontId="3" fillId="6" borderId="0" xfId="0" applyNumberFormat="1" applyFont="1" applyFill="1" applyBorder="1"/>
    <xf numFmtId="38" fontId="0" fillId="2" borderId="0" xfId="0" applyNumberFormat="1" applyFill="1" applyBorder="1"/>
    <xf numFmtId="0" fontId="3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0" borderId="4" xfId="0" applyBorder="1"/>
    <xf numFmtId="0" fontId="0" fillId="0" borderId="8" xfId="0" applyBorder="1"/>
    <xf numFmtId="9" fontId="0" fillId="0" borderId="0" xfId="1" applyNumberFormat="1" applyFont="1"/>
    <xf numFmtId="0" fontId="0" fillId="6" borderId="0" xfId="0" applyFill="1"/>
    <xf numFmtId="0" fontId="9" fillId="0" borderId="0" xfId="3" applyNumberFormat="1" applyFont="1" applyFill="1" applyAlignment="1">
      <alignment horizontal="left" vertical="center"/>
    </xf>
    <xf numFmtId="0" fontId="1" fillId="0" borderId="0" xfId="4" applyFont="1"/>
    <xf numFmtId="0" fontId="10" fillId="0" borderId="0" xfId="3" applyNumberFormat="1" applyFont="1" applyFill="1" applyAlignment="1">
      <alignment horizontal="left" vertical="center"/>
    </xf>
    <xf numFmtId="0" fontId="3" fillId="0" borderId="0" xfId="4" applyFont="1"/>
    <xf numFmtId="0" fontId="0" fillId="0" borderId="0" xfId="4" applyFont="1" applyAlignment="1">
      <alignment horizontal="center"/>
    </xf>
    <xf numFmtId="0" fontId="1" fillId="0" borderId="0" xfId="4" applyFont="1" applyAlignment="1">
      <alignment horizontal="left" indent="1"/>
    </xf>
    <xf numFmtId="0" fontId="0" fillId="0" borderId="0" xfId="4" applyFont="1" applyAlignment="1">
      <alignment horizontal="left" indent="1"/>
    </xf>
    <xf numFmtId="0" fontId="1" fillId="0" borderId="0" xfId="4" applyFont="1" applyBorder="1" applyAlignment="1">
      <alignment horizontal="left" indent="1"/>
    </xf>
    <xf numFmtId="0" fontId="1" fillId="0" borderId="0" xfId="4" applyFont="1" applyFill="1" applyBorder="1" applyAlignment="1">
      <alignment horizontal="left" indent="1"/>
    </xf>
    <xf numFmtId="0" fontId="11" fillId="0" borderId="0" xfId="4" applyFont="1" applyFill="1" applyBorder="1"/>
    <xf numFmtId="8" fontId="1" fillId="0" borderId="0" xfId="6" applyNumberFormat="1" applyFont="1" applyFill="1" applyBorder="1"/>
    <xf numFmtId="0" fontId="1" fillId="0" borderId="0" xfId="4" applyFont="1" applyFill="1"/>
    <xf numFmtId="0" fontId="0" fillId="0" borderId="0" xfId="4" applyFont="1" applyFill="1" applyAlignment="1">
      <alignment horizontal="center"/>
    </xf>
    <xf numFmtId="164" fontId="0" fillId="8" borderId="0" xfId="0" applyNumberFormat="1" applyFill="1" applyBorder="1"/>
    <xf numFmtId="0" fontId="12" fillId="9" borderId="1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4" fillId="0" borderId="4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0" xfId="0" applyFont="1" applyBorder="1"/>
    <xf numFmtId="0" fontId="14" fillId="0" borderId="8" xfId="0" applyFont="1" applyBorder="1"/>
    <xf numFmtId="0" fontId="12" fillId="0" borderId="4" xfId="8" applyFont="1" applyBorder="1" applyAlignment="1">
      <alignment horizontal="left"/>
    </xf>
    <xf numFmtId="9" fontId="14" fillId="0" borderId="21" xfId="0" applyNumberFormat="1" applyFont="1" applyBorder="1" applyAlignment="1">
      <alignment horizontal="center"/>
    </xf>
    <xf numFmtId="9" fontId="14" fillId="0" borderId="22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/>
    </xf>
    <xf numFmtId="0" fontId="14" fillId="0" borderId="11" xfId="0" applyFont="1" applyBorder="1"/>
    <xf numFmtId="0" fontId="14" fillId="0" borderId="23" xfId="0" applyFont="1" applyBorder="1"/>
    <xf numFmtId="0" fontId="14" fillId="0" borderId="24" xfId="0" applyFont="1" applyBorder="1"/>
    <xf numFmtId="0" fontId="14" fillId="0" borderId="12" xfId="0" applyFont="1" applyBorder="1"/>
    <xf numFmtId="0" fontId="14" fillId="0" borderId="13" xfId="0" applyFont="1" applyBorder="1"/>
    <xf numFmtId="0" fontId="16" fillId="0" borderId="0" xfId="0" applyFont="1"/>
    <xf numFmtId="0" fontId="14" fillId="0" borderId="0" xfId="0" applyFont="1"/>
    <xf numFmtId="43" fontId="16" fillId="0" borderId="0" xfId="0" applyNumberFormat="1" applyFont="1" applyAlignment="1"/>
    <xf numFmtId="165" fontId="16" fillId="0" borderId="0" xfId="0" applyNumberFormat="1" applyFont="1" applyAlignment="1"/>
    <xf numFmtId="166" fontId="14" fillId="0" borderId="21" xfId="0" applyNumberFormat="1" applyFont="1" applyBorder="1" applyAlignment="1">
      <alignment horizontal="center"/>
    </xf>
    <xf numFmtId="166" fontId="14" fillId="0" borderId="25" xfId="0" applyNumberFormat="1" applyFont="1" applyBorder="1" applyAlignment="1">
      <alignment horizontal="center"/>
    </xf>
    <xf numFmtId="0" fontId="14" fillId="0" borderId="26" xfId="0" applyFont="1" applyBorder="1"/>
    <xf numFmtId="0" fontId="1" fillId="6" borderId="0" xfId="4" applyFont="1" applyFill="1"/>
    <xf numFmtId="0" fontId="0" fillId="6" borderId="0" xfId="4" applyFont="1" applyFill="1"/>
    <xf numFmtId="9" fontId="1" fillId="6" borderId="0" xfId="4" applyNumberFormat="1" applyFont="1" applyFill="1"/>
    <xf numFmtId="9" fontId="17" fillId="4" borderId="27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/>
      <protection locked="0"/>
    </xf>
    <xf numFmtId="2" fontId="6" fillId="4" borderId="0" xfId="0" applyNumberFormat="1" applyFont="1" applyFill="1" applyBorder="1" applyAlignment="1">
      <alignment horizontal="left" indent="1"/>
    </xf>
    <xf numFmtId="9" fontId="17" fillId="4" borderId="27" xfId="0" applyNumberFormat="1" applyFont="1" applyFill="1" applyBorder="1" applyAlignment="1">
      <alignment horizontal="left" indent="1"/>
    </xf>
    <xf numFmtId="0" fontId="0" fillId="4" borderId="4" xfId="0" applyFont="1" applyFill="1" applyBorder="1" applyAlignment="1">
      <alignment horizontal="left" indent="3"/>
    </xf>
    <xf numFmtId="8" fontId="1" fillId="10" borderId="0" xfId="6" applyNumberFormat="1" applyFont="1" applyFill="1" applyBorder="1"/>
    <xf numFmtId="0" fontId="1" fillId="10" borderId="0" xfId="4" applyFont="1" applyFill="1"/>
    <xf numFmtId="0" fontId="12" fillId="9" borderId="1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9" fillId="0" borderId="0" xfId="3" applyNumberFormat="1" applyFont="1" applyFill="1" applyAlignment="1">
      <alignment horizontal="center" vertical="center"/>
    </xf>
    <xf numFmtId="0" fontId="0" fillId="0" borderId="15" xfId="4" applyFont="1" applyBorder="1" applyAlignment="1">
      <alignment horizontal="center"/>
    </xf>
  </cellXfs>
  <cellStyles count="9">
    <cellStyle name="Comma 2 4" xfId="2"/>
    <cellStyle name="Comma 5" xfId="3"/>
    <cellStyle name="Currency 2" xfId="7"/>
    <cellStyle name="Currency 4" xfId="6"/>
    <cellStyle name="Normal" xfId="0" builtinId="0"/>
    <cellStyle name="Normal 2" xfId="8"/>
    <cellStyle name="Normal 2 3" xfId="4"/>
    <cellStyle name="Percent" xfId="1" builtinId="5"/>
    <cellStyle name="Percent 5" xfId="5"/>
  </cellStyles>
  <dxfs count="3"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G38"/>
  <sheetViews>
    <sheetView zoomScale="110" zoomScaleNormal="110" workbookViewId="0">
      <pane ySplit="3" topLeftCell="A4" activePane="bottomLeft" state="frozen"/>
      <selection activeCell="B1" sqref="B1"/>
      <selection pane="bottomLeft" activeCell="N17" sqref="N17"/>
    </sheetView>
  </sheetViews>
  <sheetFormatPr defaultRowHeight="15"/>
  <cols>
    <col min="1" max="1" width="3.42578125" customWidth="1"/>
    <col min="2" max="2" width="2.42578125" customWidth="1"/>
    <col min="3" max="3" width="35.28515625" customWidth="1"/>
    <col min="4" max="4" width="18" customWidth="1"/>
    <col min="5" max="5" width="10.42578125" style="1" customWidth="1"/>
    <col min="6" max="6" width="12.5703125" customWidth="1"/>
    <col min="7" max="7" width="2.5703125" customWidth="1"/>
    <col min="8" max="8" width="2.140625" customWidth="1"/>
    <col min="12" max="12" width="8.5703125" customWidth="1"/>
    <col min="13" max="13" width="11.140625" customWidth="1"/>
  </cols>
  <sheetData>
    <row r="2" spans="2:7">
      <c r="C2" t="s">
        <v>0</v>
      </c>
    </row>
    <row r="3" spans="2:7" ht="15.75" thickBot="1"/>
    <row r="4" spans="2:7" ht="15.75" thickBot="1">
      <c r="B4" s="2"/>
      <c r="C4" s="3"/>
      <c r="D4" s="3"/>
      <c r="E4" s="4"/>
      <c r="F4" s="3"/>
      <c r="G4" s="5"/>
    </row>
    <row r="5" spans="2:7" ht="15.75" thickBot="1">
      <c r="B5" s="6"/>
      <c r="C5" s="7" t="s">
        <v>3</v>
      </c>
      <c r="D5" s="8"/>
      <c r="E5" s="9"/>
      <c r="F5" s="10"/>
      <c r="G5" s="11"/>
    </row>
    <row r="6" spans="2:7">
      <c r="B6" s="6"/>
      <c r="C6" s="12" t="s">
        <v>4</v>
      </c>
      <c r="D6" s="13" t="s">
        <v>35</v>
      </c>
      <c r="E6" s="14" t="s">
        <v>80</v>
      </c>
      <c r="F6" s="15"/>
      <c r="G6" s="11"/>
    </row>
    <row r="7" spans="2:7">
      <c r="B7" s="6"/>
      <c r="C7" s="12" t="s">
        <v>6</v>
      </c>
      <c r="D7" s="13" t="s">
        <v>49</v>
      </c>
      <c r="E7" s="14" t="s">
        <v>7</v>
      </c>
      <c r="F7" s="15"/>
      <c r="G7" s="11"/>
    </row>
    <row r="8" spans="2:7">
      <c r="B8" s="6"/>
      <c r="C8" s="12" t="s">
        <v>10</v>
      </c>
      <c r="D8" s="17" t="s">
        <v>9</v>
      </c>
      <c r="E8" s="14" t="s">
        <v>11</v>
      </c>
      <c r="F8" s="15"/>
      <c r="G8" s="11"/>
    </row>
    <row r="9" spans="2:7">
      <c r="B9" s="6"/>
      <c r="C9" s="12" t="s">
        <v>13</v>
      </c>
      <c r="D9" s="17">
        <v>48</v>
      </c>
      <c r="E9" s="14"/>
      <c r="F9" s="15"/>
      <c r="G9" s="11"/>
    </row>
    <row r="10" spans="2:7">
      <c r="B10" s="6"/>
      <c r="C10" s="12" t="s">
        <v>77</v>
      </c>
      <c r="D10" s="17" t="s">
        <v>78</v>
      </c>
      <c r="E10" s="14"/>
      <c r="F10" s="15"/>
      <c r="G10" s="11"/>
    </row>
    <row r="11" spans="2:7" ht="15.75" thickBot="1">
      <c r="B11" s="6"/>
      <c r="C11" s="25" t="s">
        <v>79</v>
      </c>
      <c r="D11" s="124">
        <f>IF($D$10="","",IF($D$10="Stage A",'Rates_DO NOT DELETE'!$S$6,IF($D$10="Stage B",'Rates_DO NOT DELETE'!$S$7,IF($D$10="Stage C",'Rates_DO NOT DELETE'!$S$8,IF($D$10="Stage D",'Rates_DO NOT DELETE'!$S$9,IF($D$10="Stage E",'Rates_DO NOT DELETE'!$S$10,0%))))))</f>
        <v>0</v>
      </c>
      <c r="E11" s="19"/>
      <c r="F11" s="20"/>
      <c r="G11" s="11"/>
    </row>
    <row r="12" spans="2:7">
      <c r="B12" s="6"/>
      <c r="C12" s="22"/>
      <c r="D12" s="23"/>
      <c r="E12" s="24"/>
      <c r="F12" s="22"/>
      <c r="G12" s="11"/>
    </row>
    <row r="13" spans="2:7">
      <c r="B13" s="6"/>
      <c r="C13" s="26" t="s">
        <v>18</v>
      </c>
      <c r="D13" s="27"/>
      <c r="E13" s="28"/>
      <c r="F13" s="29"/>
      <c r="G13" s="11"/>
    </row>
    <row r="14" spans="2:7">
      <c r="B14" s="6"/>
      <c r="C14" s="30"/>
      <c r="D14" s="22"/>
      <c r="E14" s="24"/>
      <c r="F14" s="22"/>
      <c r="G14" s="11"/>
    </row>
    <row r="15" spans="2:7">
      <c r="B15" s="6"/>
      <c r="C15" s="31" t="s">
        <v>19</v>
      </c>
      <c r="D15" s="24" t="str">
        <f>IF(D8="","",+$D$8 &amp;" meter")</f>
        <v>1" meter</v>
      </c>
      <c r="E15" s="24"/>
      <c r="F15" s="32">
        <f>+IF($D$6="",0,IF($D$7="",0,IF($D$8="",0,IF($D$9="",0,IF($D$7="Inside City",VLOOKUP($D$8,'Rates_DO NOT DELETE'!$A$6:$E$12,3,FALSE),IF($D$7="Outside City",VLOOKUP($D$8,'Rates_DO NOT DELETE'!$A$6:$E$12,5,FALSE),0))))))</f>
        <v>48.97</v>
      </c>
      <c r="G15" s="11"/>
    </row>
    <row r="16" spans="2:7">
      <c r="B16" s="6"/>
      <c r="C16" s="31"/>
      <c r="D16" s="22"/>
      <c r="E16" s="24"/>
      <c r="F16" s="22"/>
      <c r="G16" s="11"/>
    </row>
    <row r="17" spans="2:7">
      <c r="B17" s="6"/>
      <c r="C17" s="31" t="s">
        <v>20</v>
      </c>
      <c r="D17" s="34" t="s">
        <v>21</v>
      </c>
      <c r="E17" s="34" t="s">
        <v>22</v>
      </c>
      <c r="F17" s="35" t="s">
        <v>23</v>
      </c>
      <c r="G17" s="11"/>
    </row>
    <row r="18" spans="2:7">
      <c r="B18" s="6"/>
      <c r="C18" s="36" t="s">
        <v>52</v>
      </c>
      <c r="D18" s="37">
        <f>+ROUND(IF($D$7="",0,IF($D$7="Inside City",'Rates_DO NOT DELETE'!$C$16,IF($D$7="Outside City",'Rates_DO NOT DELETE'!$E$16,"")))*IF($D$10="",1,IF($D$10="Stage A",'Rates_DO NOT DELETE'!$L$20,IF($D$10="Stage B",'Rates_DO NOT DELETE'!$M$20,IF($D$10="Stage C",'Rates_DO NOT DELETE'!$N$20,IF($D$10="Stage D",'Rates_DO NOT DELETE'!$O$20,IF($D$10="Stage E",'Rates_DO NOT DELETE'!$P$20,1)))))),2)</f>
        <v>3.34</v>
      </c>
      <c r="E18" s="38">
        <f>+IF($D$6="",0,IF($D$7="",0,IF($D$8="",0,IF($D$9="",0,IF(D9&lt;26,D9,26)))))</f>
        <v>26</v>
      </c>
      <c r="F18" s="39">
        <f>+E18*D18</f>
        <v>86.84</v>
      </c>
      <c r="G18" s="11"/>
    </row>
    <row r="19" spans="2:7">
      <c r="B19" s="6"/>
      <c r="C19" s="36" t="s">
        <v>53</v>
      </c>
      <c r="D19" s="37">
        <f>+ROUND(IF($D$7="",0,IF($D$7="Inside City",'Rates_DO NOT DELETE'!$C$17,IF($D$7="Outside City",'Rates_DO NOT DELETE'!$E$17,"")))*IF($D$10="",1,IF($D$10="Stage A",'Rates_DO NOT DELETE'!$L$20,IF($D$10="Stage B",'Rates_DO NOT DELETE'!$M$20,IF($D$10="Stage C",'Rates_DO NOT DELETE'!$N$20,IF($D$10="Stage D",'Rates_DO NOT DELETE'!$O$20,IF($D$10="Stage E",'Rates_DO NOT DELETE'!$P$20,1)))))),2)</f>
        <v>6.51</v>
      </c>
      <c r="E19" s="38">
        <f>+IF($D$6="",0,IF($D$7="",0,IF($D$8="",0,IF(D9&lt;49,D9-E18,48-26))))</f>
        <v>22</v>
      </c>
      <c r="F19" s="39">
        <f>+E19*D19</f>
        <v>143.22</v>
      </c>
      <c r="G19" s="11"/>
    </row>
    <row r="20" spans="2:7">
      <c r="B20" s="6"/>
      <c r="C20" s="36" t="s">
        <v>54</v>
      </c>
      <c r="D20" s="37">
        <f>+ROUND(IF($D$7="",0,IF($D$7="Inside City",'Rates_DO NOT DELETE'!$C$18,IF($D$7="Outside City",'Rates_DO NOT DELETE'!$E$18,"")))*IF($D$10="",1,IF($D$10="Stage A",'Rates_DO NOT DELETE'!$L$20,IF($D$10="Stage B",'Rates_DO NOT DELETE'!$M$20,IF($D$10="Stage C",'Rates_DO NOT DELETE'!$N$20,IF($D$10="Stage D",'Rates_DO NOT DELETE'!$O$20,IF($D$10="Stage E",'Rates_DO NOT DELETE'!$P$20,1)))))),2)</f>
        <v>9.58</v>
      </c>
      <c r="E20" s="38">
        <f>+IF($D$6="",0,IF($D$7="",0,IF($D$8="",0,IF(D9&lt;86,D9-E19-E18,86-48))))</f>
        <v>0</v>
      </c>
      <c r="F20" s="39">
        <f>+E20*D20</f>
        <v>0</v>
      </c>
      <c r="G20" s="11"/>
    </row>
    <row r="21" spans="2:7">
      <c r="B21" s="6"/>
      <c r="C21" s="36" t="s">
        <v>55</v>
      </c>
      <c r="D21" s="37">
        <f>+ROUND(IF($D$7="",0,IF($D$7="Inside City",'Rates_DO NOT DELETE'!$C$19,IF($D$7="Outside City",'Rates_DO NOT DELETE'!$E$19,"")))*IF($D$10="",1,IF($D$10="Stage A",'Rates_DO NOT DELETE'!$L$20,IF($D$10="Stage B",'Rates_DO NOT DELETE'!$M$20,IF($D$10="Stage C",'Rates_DO NOT DELETE'!$N$20,IF($D$10="Stage D",'Rates_DO NOT DELETE'!$O$20,IF($D$10="Stage E",'Rates_DO NOT DELETE'!$P$20,1)))))),2)</f>
        <v>13.61</v>
      </c>
      <c r="E21" s="43">
        <f>+IF($D$6="",0,IF($D$7="",0,IF($D$8="",0,IF(D9&gt;86,D9-86,0))))</f>
        <v>0</v>
      </c>
      <c r="F21" s="44">
        <f>+E21*D21</f>
        <v>0</v>
      </c>
      <c r="G21" s="11"/>
    </row>
    <row r="22" spans="2:7">
      <c r="B22" s="6"/>
      <c r="C22" s="22"/>
      <c r="D22" s="22"/>
      <c r="E22" s="38">
        <f>SUM(E18:E21)</f>
        <v>48</v>
      </c>
      <c r="F22" s="42">
        <f>SUM(F18:F21)</f>
        <v>230.06</v>
      </c>
      <c r="G22" s="11"/>
    </row>
    <row r="23" spans="2:7">
      <c r="B23" s="6"/>
      <c r="C23" s="22"/>
      <c r="D23" s="22"/>
      <c r="E23" s="38"/>
      <c r="F23" s="38"/>
      <c r="G23" s="11"/>
    </row>
    <row r="24" spans="2:7">
      <c r="B24" s="6"/>
      <c r="C24" s="22" t="s">
        <v>58</v>
      </c>
      <c r="D24" s="37">
        <f>+ROUND(IF($D$7="",0,IF($D$7="Inside City",'Rates_DO NOT DELETE'!$C$28,IF($D$7="Outside City",'Rates_DO NOT DELETE'!$E$28,"")))*IF($D$10="",1,IF($D$10="Stage A",'Rates_DO NOT DELETE'!$L$20,IF($D$10="Stage B",'Rates_DO NOT DELETE'!$M$20,IF($D$10="Stage C",'Rates_DO NOT DELETE'!$N$20,IF($D$10="Stage D",'Rates_DO NOT DELETE'!$O$20,IF($D$10="Stage E",'Rates_DO NOT DELETE'!$P$20,1)))))),2)</f>
        <v>0.23</v>
      </c>
      <c r="E24" s="38">
        <f>+E22</f>
        <v>48</v>
      </c>
      <c r="F24" s="88">
        <f>+E24*D24</f>
        <v>11.040000000000001</v>
      </c>
      <c r="G24" s="11"/>
    </row>
    <row r="25" spans="2:7">
      <c r="B25" s="6"/>
      <c r="C25" s="22"/>
      <c r="D25" s="22"/>
      <c r="E25" s="24"/>
      <c r="F25" s="22"/>
      <c r="G25" s="11"/>
    </row>
    <row r="26" spans="2:7">
      <c r="B26" s="6"/>
      <c r="C26" s="45" t="s">
        <v>25</v>
      </c>
      <c r="D26" s="46"/>
      <c r="E26" s="47"/>
      <c r="F26" s="50">
        <f>+F22+F15+F24</f>
        <v>290.07</v>
      </c>
      <c r="G26" s="11"/>
    </row>
    <row r="27" spans="2:7">
      <c r="B27" s="6"/>
      <c r="C27" s="22"/>
      <c r="D27" s="22"/>
      <c r="E27" s="24"/>
      <c r="F27" s="22"/>
      <c r="G27" s="11"/>
    </row>
    <row r="28" spans="2:7">
      <c r="B28" s="6"/>
      <c r="C28" s="26" t="s">
        <v>26</v>
      </c>
      <c r="D28" s="27"/>
      <c r="E28" s="28"/>
      <c r="F28" s="29"/>
      <c r="G28" s="11"/>
    </row>
    <row r="29" spans="2:7">
      <c r="B29" s="6"/>
      <c r="C29" s="41" t="str">
        <f>+IF($D$7="Outside City", "Not Applicable; City of Beverly Hills does not provide ","Bi-monthly Charge per Dwelling Unit")</f>
        <v>Bi-monthly Charge per Dwelling Unit</v>
      </c>
      <c r="D29" s="22"/>
      <c r="E29" s="24"/>
      <c r="F29" s="54">
        <f>+IF($D$7="Outside City","",IF($D$6="",0,IF($D$7="",0,IF($D$8="",0,IF($D$9="",0,87.38)))))</f>
        <v>87.38</v>
      </c>
      <c r="G29" s="11"/>
    </row>
    <row r="30" spans="2:7">
      <c r="B30" s="6"/>
      <c r="C30" s="41" t="str">
        <f>+IF($D$7="Outside City", "Sewer service to Outside City customers.","")</f>
        <v/>
      </c>
      <c r="D30" s="22"/>
      <c r="E30" s="23" t="str">
        <f>IF($D$7="Outside City","","x # of Dwelling Units")</f>
        <v>x # of Dwelling Units</v>
      </c>
      <c r="F30" s="57">
        <f>+IF($D$7="Outside City","",IF($D$6="",0,IF($D$6="Single Family",1,2)))</f>
        <v>1</v>
      </c>
      <c r="G30" s="11"/>
    </row>
    <row r="31" spans="2:7">
      <c r="B31" s="6"/>
      <c r="C31" s="58" t="s">
        <v>29</v>
      </c>
      <c r="D31" s="59"/>
      <c r="E31" s="60"/>
      <c r="F31" s="52">
        <f>+IF($D$6="",0,IF($D$7="Outside City",0,F29*F30))</f>
        <v>87.38</v>
      </c>
      <c r="G31" s="11"/>
    </row>
    <row r="32" spans="2:7">
      <c r="B32" s="6"/>
      <c r="C32" s="61"/>
      <c r="D32" s="61"/>
      <c r="E32" s="61"/>
      <c r="F32" s="61"/>
      <c r="G32" s="11"/>
    </row>
    <row r="33" spans="2:7">
      <c r="B33" s="6"/>
      <c r="C33" s="62" t="s">
        <v>30</v>
      </c>
      <c r="D33" s="62"/>
      <c r="E33" s="63"/>
      <c r="F33" s="64">
        <f>+F31+F26</f>
        <v>377.45</v>
      </c>
      <c r="G33" s="11"/>
    </row>
    <row r="34" spans="2:7" ht="15.75" thickBot="1">
      <c r="B34" s="67"/>
      <c r="C34" s="68"/>
      <c r="D34" s="68"/>
      <c r="E34" s="69"/>
      <c r="F34" s="68"/>
      <c r="G34" s="70"/>
    </row>
    <row r="38" spans="2:7">
      <c r="F38" s="73"/>
    </row>
  </sheetData>
  <sheetProtection selectLockedCells="1"/>
  <dataConsolidate/>
  <conditionalFormatting sqref="F30">
    <cfRule type="notContainsBlanks" dxfId="2" priority="3">
      <formula>LEN(TRIM(F30))&gt;0</formula>
    </cfRule>
  </conditionalFormatting>
  <dataValidations count="4">
    <dataValidation type="list" allowBlank="1" showErrorMessage="1" error="Input value must be selected from the drop down list" prompt="Use drop down list to enter data" sqref="D8">
      <formula1>"1"", 1 1/2"", 2"", 3"", 4"", 6"""</formula1>
    </dataValidation>
    <dataValidation type="whole" allowBlank="1" showInputMessage="1" showErrorMessage="1" error="Enter whole numbers only...no decimals" sqref="D9">
      <formula1>0</formula1>
      <formula2>9999</formula2>
    </dataValidation>
    <dataValidation type="list" allowBlank="1" showErrorMessage="1" error="Input value must be selected from the drop down list" prompt="Use drop down list to enter data" sqref="D7">
      <formula1>"Inside City, Outside City"</formula1>
    </dataValidation>
    <dataValidation type="list" allowBlank="1" showInputMessage="1" showErrorMessage="1" error="Input value must be selected from the drop down list" sqref="D6">
      <formula1>"Single Family, Duplex"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put value must be selected from the drop down list">
          <x14:formula1>
            <xm:f>'Rates_DO NOT DELETE'!$R$5:$R$10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G38"/>
  <sheetViews>
    <sheetView zoomScaleNormal="100" workbookViewId="0">
      <pane ySplit="3" topLeftCell="A4" activePane="bottomLeft" state="frozen"/>
      <selection activeCell="B1" sqref="B1"/>
      <selection pane="bottomLeft" activeCell="C6" sqref="C6"/>
    </sheetView>
  </sheetViews>
  <sheetFormatPr defaultRowHeight="15"/>
  <cols>
    <col min="1" max="1" width="3.42578125" customWidth="1"/>
    <col min="2" max="2" width="2.140625" customWidth="1"/>
    <col min="3" max="3" width="35.140625" customWidth="1"/>
    <col min="4" max="4" width="17" customWidth="1"/>
    <col min="5" max="5" width="9.7109375" style="1" customWidth="1"/>
    <col min="6" max="6" width="13.5703125" customWidth="1"/>
    <col min="7" max="7" width="2.140625" customWidth="1"/>
    <col min="8" max="8" width="2.5703125" customWidth="1"/>
  </cols>
  <sheetData>
    <row r="2" spans="2:7">
      <c r="C2" t="s">
        <v>1</v>
      </c>
    </row>
    <row r="3" spans="2:7" ht="15.75" thickBot="1"/>
    <row r="4" spans="2:7" ht="15.75" thickBot="1">
      <c r="B4" s="2"/>
      <c r="C4" s="3"/>
      <c r="D4" s="3"/>
      <c r="E4" s="4"/>
      <c r="F4" s="3"/>
      <c r="G4" s="5"/>
    </row>
    <row r="5" spans="2:7" ht="15.75" thickBot="1">
      <c r="B5" s="6"/>
      <c r="C5" s="7" t="s">
        <v>3</v>
      </c>
      <c r="D5" s="8"/>
      <c r="E5" s="9"/>
      <c r="F5" s="10"/>
      <c r="G5" s="11"/>
    </row>
    <row r="6" spans="2:7">
      <c r="B6" s="6"/>
      <c r="C6" s="12" t="s">
        <v>5</v>
      </c>
      <c r="D6" s="13" t="s">
        <v>49</v>
      </c>
      <c r="E6" s="14" t="s">
        <v>80</v>
      </c>
      <c r="F6" s="16"/>
      <c r="G6" s="11"/>
    </row>
    <row r="7" spans="2:7">
      <c r="B7" s="6"/>
      <c r="C7" s="12" t="s">
        <v>8</v>
      </c>
      <c r="D7" s="17" t="s">
        <v>9</v>
      </c>
      <c r="E7" s="14" t="s">
        <v>7</v>
      </c>
      <c r="F7" s="16"/>
      <c r="G7" s="11"/>
    </row>
    <row r="8" spans="2:7">
      <c r="B8" s="6"/>
      <c r="C8" s="12" t="s">
        <v>12</v>
      </c>
      <c r="D8" s="18">
        <v>90</v>
      </c>
      <c r="E8" s="14" t="s">
        <v>11</v>
      </c>
      <c r="F8" s="16"/>
      <c r="G8" s="11"/>
    </row>
    <row r="9" spans="2:7">
      <c r="B9" s="6"/>
      <c r="C9" s="12" t="s">
        <v>14</v>
      </c>
      <c r="D9" s="18">
        <v>10</v>
      </c>
      <c r="E9" s="21"/>
      <c r="F9" s="16"/>
      <c r="G9" s="11"/>
    </row>
    <row r="10" spans="2:7">
      <c r="B10" s="6"/>
      <c r="C10" s="127" t="s">
        <v>84</v>
      </c>
      <c r="D10" s="129">
        <f>+IF(D9="",0,ROUND(D8/D9,2))</f>
        <v>9</v>
      </c>
      <c r="E10" s="126"/>
      <c r="F10" s="16"/>
      <c r="G10" s="11"/>
    </row>
    <row r="11" spans="2:7">
      <c r="B11" s="6"/>
      <c r="C11" s="12" t="s">
        <v>77</v>
      </c>
      <c r="D11" s="128" t="s">
        <v>78</v>
      </c>
      <c r="E11" s="14"/>
      <c r="F11" s="16"/>
      <c r="G11" s="11"/>
    </row>
    <row r="12" spans="2:7" ht="15.75" thickBot="1">
      <c r="B12" s="6"/>
      <c r="C12" s="25" t="s">
        <v>79</v>
      </c>
      <c r="D12" s="130">
        <f>IF($D$11="","",IF($D$11="Stage A",'Rates_DO NOT DELETE'!$T$6,IF($D$11="Stage B",'Rates_DO NOT DELETE'!$T$7,IF($D$11="Stage C",'Rates_DO NOT DELETE'!$T$8,IF($D$11="Stage D",'Rates_DO NOT DELETE'!$T$9,IF($D$11="Stage E",'Rates_DO NOT DELETE'!$T$10,0%))))))</f>
        <v>0</v>
      </c>
      <c r="E12" s="19"/>
      <c r="F12" s="20"/>
      <c r="G12" s="11"/>
    </row>
    <row r="13" spans="2:7">
      <c r="B13" s="6"/>
      <c r="C13" s="22"/>
      <c r="D13" s="23"/>
      <c r="E13" s="24"/>
      <c r="F13" s="22"/>
      <c r="G13" s="11"/>
    </row>
    <row r="14" spans="2:7">
      <c r="B14" s="6"/>
      <c r="C14" s="26" t="s">
        <v>18</v>
      </c>
      <c r="D14" s="27"/>
      <c r="E14" s="28"/>
      <c r="F14" s="29"/>
      <c r="G14" s="11"/>
    </row>
    <row r="15" spans="2:7">
      <c r="B15" s="6"/>
      <c r="C15" s="30"/>
      <c r="D15" s="22"/>
      <c r="E15" s="24"/>
      <c r="F15" s="22"/>
      <c r="G15" s="11"/>
    </row>
    <row r="16" spans="2:7">
      <c r="B16" s="6"/>
      <c r="C16" s="31" t="s">
        <v>19</v>
      </c>
      <c r="D16" s="24" t="str">
        <f>IF($D$7="","",+$D$7 &amp;" meter")</f>
        <v>1" meter</v>
      </c>
      <c r="E16" s="24"/>
      <c r="F16" s="32">
        <f>+IF($D$6="",0,IF($D$7="",0,IF($D$8="",0,IF($D$9="",0,IF($D$6="Inside City",VLOOKUP($D$7,'Rates_DO NOT DELETE'!$A$6:$E$12,3,FALSE),IF($D$6="Outside City",VLOOKUP($D$7,'Rates_DO NOT DELETE'!$A$6:$E$12,5,FALSE),0))))))</f>
        <v>48.97</v>
      </c>
      <c r="G16" s="11"/>
    </row>
    <row r="17" spans="2:7">
      <c r="B17" s="6"/>
      <c r="C17" s="31"/>
      <c r="D17" s="24"/>
      <c r="E17" s="24"/>
      <c r="F17" s="24"/>
      <c r="G17" s="11"/>
    </row>
    <row r="18" spans="2:7">
      <c r="B18" s="6"/>
      <c r="C18" s="31" t="s">
        <v>20</v>
      </c>
      <c r="D18" s="34" t="s">
        <v>21</v>
      </c>
      <c r="E18" s="34" t="s">
        <v>22</v>
      </c>
      <c r="F18" s="35" t="s">
        <v>24</v>
      </c>
      <c r="G18" s="11"/>
    </row>
    <row r="19" spans="2:7">
      <c r="B19" s="6"/>
      <c r="C19" s="36" t="s">
        <v>56</v>
      </c>
      <c r="D19" s="37">
        <f>+ROUND(IF($D$6="",0,IF($D$6="Inside City",'Rates_DO NOT DELETE'!C21,IF($D$6="Outside City",'Rates_DO NOT DELETE'!E21,"")))*IF($D$11="",1,IF($D$11="Stage A",'Rates_DO NOT DELETE'!$L$21,IF($D$11="Stage B",'Rates_DO NOT DELETE'!$M$21,IF($D$11="Stage C",'Rates_DO NOT DELETE'!$N$21,IF($D$11="Stage D",'Rates_DO NOT DELETE'!$O$21,IF($D$11="Stage E",'Rates_DO NOT DELETE'!$P$21,1)))))),2)</f>
        <v>4.26</v>
      </c>
      <c r="E19" s="40">
        <f>+IF($D$6="",0,IF($D$7="",0,IF($D$8="",0,IF($D$9="",0,IF(D10&lt;8,D10,8)))))</f>
        <v>8</v>
      </c>
      <c r="F19" s="39">
        <f>+E19*D19</f>
        <v>34.08</v>
      </c>
      <c r="G19" s="11"/>
    </row>
    <row r="20" spans="2:7">
      <c r="B20" s="6"/>
      <c r="C20" s="36" t="s">
        <v>57</v>
      </c>
      <c r="D20" s="37">
        <f>+ROUND(IF($D$6="",0,IF($D$6="Inside City",'Rates_DO NOT DELETE'!$C$22,IF($D$6="Outside City",'Rates_DO NOT DELETE'!$E$22,"")))*IF($D$11="",1,IF($D$11="Stage A",'Rates_DO NOT DELETE'!$L$21,IF($D$11="Stage B",'Rates_DO NOT DELETE'!$M$21,IF($D$11="Stage C",'Rates_DO NOT DELETE'!$N$21,IF($D$11="Stage D",'Rates_DO NOT DELETE'!$O$21,IF($D$11="Stage E",'Rates_DO NOT DELETE'!$P$21,1)))))),2)</f>
        <v>12.17</v>
      </c>
      <c r="E20" s="49">
        <f>+IF($D$6="",0,IF($D$7="",0,IF($D$8="",0,IF(D10&gt;8,D10-8,0))))</f>
        <v>1</v>
      </c>
      <c r="F20" s="44">
        <f>+E20*D20</f>
        <v>12.17</v>
      </c>
      <c r="G20" s="11"/>
    </row>
    <row r="21" spans="2:7">
      <c r="B21" s="6"/>
      <c r="C21" s="22"/>
      <c r="D21" s="22"/>
      <c r="E21" s="40">
        <f>SUM(E19:E20)</f>
        <v>9</v>
      </c>
      <c r="F21" s="42">
        <f>SUM(F19:F20)</f>
        <v>46.25</v>
      </c>
      <c r="G21" s="11"/>
    </row>
    <row r="22" spans="2:7">
      <c r="B22" s="6"/>
      <c r="C22" s="22"/>
      <c r="D22" s="23" t="s">
        <v>27</v>
      </c>
      <c r="E22" s="49">
        <f>+D9</f>
        <v>10</v>
      </c>
      <c r="F22" s="51">
        <f>+D9</f>
        <v>10</v>
      </c>
      <c r="G22" s="11"/>
    </row>
    <row r="23" spans="2:7">
      <c r="B23" s="6"/>
      <c r="C23" s="41"/>
      <c r="D23" s="23" t="s">
        <v>28</v>
      </c>
      <c r="E23" s="40">
        <f>+E22*E21</f>
        <v>90</v>
      </c>
      <c r="F23" s="32">
        <f>+F22*F21</f>
        <v>462.5</v>
      </c>
      <c r="G23" s="11"/>
    </row>
    <row r="24" spans="2:7">
      <c r="B24" s="6"/>
      <c r="C24" s="22"/>
      <c r="D24" s="22"/>
      <c r="E24" s="24"/>
      <c r="F24" s="22"/>
      <c r="G24" s="11"/>
    </row>
    <row r="25" spans="2:7">
      <c r="B25" s="6"/>
      <c r="C25" s="22" t="s">
        <v>58</v>
      </c>
      <c r="D25" s="37">
        <f>+ROUND(IF($D$6="",0,IF($D$6="Inside City",'Rates_DO NOT DELETE'!$C$28,IF($D$6="Outside City",'Rates_DO NOT DELETE'!$E$28,"")))*IF($D$11="",1,IF($D$11="Stage A",'Rates_DO NOT DELETE'!$L$21,IF($D$11="Stage B",'Rates_DO NOT DELETE'!$M$21,IF($D$11="Stage C",'Rates_DO NOT DELETE'!$N$21,IF($D$11="Stage D",'Rates_DO NOT DELETE'!$O$21,IF($D$11="Stage E",'Rates_DO NOT DELETE'!$P$21,1)))))),2)</f>
        <v>0.23</v>
      </c>
      <c r="E25" s="38">
        <f>+E23</f>
        <v>90</v>
      </c>
      <c r="F25" s="88">
        <f>+E25*D25</f>
        <v>20.7</v>
      </c>
      <c r="G25" s="11"/>
    </row>
    <row r="26" spans="2:7">
      <c r="B26" s="6"/>
      <c r="C26" s="22"/>
      <c r="D26" s="22"/>
      <c r="E26" s="24"/>
      <c r="F26" s="22"/>
      <c r="G26" s="11"/>
    </row>
    <row r="27" spans="2:7">
      <c r="B27" s="6"/>
      <c r="C27" s="45" t="s">
        <v>25</v>
      </c>
      <c r="D27" s="46"/>
      <c r="E27" s="47"/>
      <c r="F27" s="48">
        <f>+F23+F16+F25</f>
        <v>532.17000000000007</v>
      </c>
      <c r="G27" s="11"/>
    </row>
    <row r="28" spans="2:7">
      <c r="B28" s="6"/>
      <c r="C28" s="22"/>
      <c r="D28" s="22"/>
      <c r="E28" s="24"/>
      <c r="F28" s="22"/>
      <c r="G28" s="11"/>
    </row>
    <row r="29" spans="2:7">
      <c r="B29" s="6"/>
      <c r="C29" s="26" t="s">
        <v>26</v>
      </c>
      <c r="D29" s="27"/>
      <c r="E29" s="28"/>
      <c r="F29" s="29"/>
      <c r="G29" s="11"/>
    </row>
    <row r="30" spans="2:7">
      <c r="B30" s="6"/>
      <c r="C30" s="41" t="str">
        <f>+IF($D$6="Outside City", "Not Applicable; City of Beverly Hills does not provide ","Bi-monthly Charge per Dwelling Unit")</f>
        <v>Bi-monthly Charge per Dwelling Unit</v>
      </c>
      <c r="D30" s="22"/>
      <c r="E30" s="24"/>
      <c r="F30" s="54">
        <f>+IF($D$6="Outside City","",IF($D$6="",0,IF($D$7="",0,IF($D$8="",0,IF($D$9="",0,87.38)))))</f>
        <v>87.38</v>
      </c>
      <c r="G30" s="11"/>
    </row>
    <row r="31" spans="2:7">
      <c r="B31" s="6"/>
      <c r="C31" s="41" t="str">
        <f>+IF($D$6="Outside City", "Sewer service to Outside City customers.","")</f>
        <v/>
      </c>
      <c r="D31" s="22"/>
      <c r="E31" s="23" t="str">
        <f>IF($D$6="Outside City","","x # of Dwelling Units")</f>
        <v>x # of Dwelling Units</v>
      </c>
      <c r="F31" s="57">
        <f>+IF($D$6="Outside City","",$D$9)</f>
        <v>10</v>
      </c>
      <c r="G31" s="11"/>
    </row>
    <row r="32" spans="2:7">
      <c r="B32" s="71"/>
      <c r="C32" s="58" t="s">
        <v>29</v>
      </c>
      <c r="D32" s="59"/>
      <c r="E32" s="60"/>
      <c r="F32" s="52">
        <f>++IF($D$6="Outside City",0,F30*F31)</f>
        <v>873.8</v>
      </c>
      <c r="G32" s="72"/>
    </row>
    <row r="33" spans="2:7">
      <c r="B33" s="6"/>
      <c r="C33" s="23"/>
      <c r="D33" s="22"/>
      <c r="E33" s="24"/>
      <c r="F33" s="22"/>
      <c r="G33" s="11"/>
    </row>
    <row r="34" spans="2:7">
      <c r="B34" s="6"/>
      <c r="C34" s="62" t="s">
        <v>30</v>
      </c>
      <c r="D34" s="62"/>
      <c r="E34" s="63"/>
      <c r="F34" s="64">
        <f>+F32+F27</f>
        <v>1405.97</v>
      </c>
      <c r="G34" s="11"/>
    </row>
    <row r="35" spans="2:7" ht="15.75" thickBot="1">
      <c r="B35" s="67"/>
      <c r="C35" s="68"/>
      <c r="D35" s="68"/>
      <c r="E35" s="69"/>
      <c r="F35" s="68"/>
      <c r="G35" s="70"/>
    </row>
    <row r="38" spans="2:7">
      <c r="D38" t="s">
        <v>31</v>
      </c>
    </row>
  </sheetData>
  <sheetProtection selectLockedCells="1"/>
  <dataConsolidate/>
  <conditionalFormatting sqref="F31">
    <cfRule type="notContainsBlanks" dxfId="1" priority="2">
      <formula>LEN(TRIM(F31))&gt;0</formula>
    </cfRule>
  </conditionalFormatting>
  <dataValidations count="4">
    <dataValidation type="list" allowBlank="1" showErrorMessage="1" prompt="Use drop down list to enter data" sqref="D6">
      <formula1>"Inside City, Outside City"</formula1>
    </dataValidation>
    <dataValidation type="whole" allowBlank="1" showInputMessage="1" showErrorMessage="1" error="Enter whole numbers only...no decimals" sqref="D8:D9">
      <formula1>0</formula1>
      <formula2>9999</formula2>
    </dataValidation>
    <dataValidation type="list" allowBlank="1" showErrorMessage="1" prompt="Use drop down list to enter data" sqref="D7">
      <formula1>"1"", 1 1/2"", 2"", 3"", 4"", 6"""</formula1>
    </dataValidation>
    <dataValidation type="list" allowBlank="1" showInputMessage="1" showErrorMessage="1" error="Input value must be selected from the drop down list" sqref="D11">
      <formula1>"None, Stage A, Stage B, Stage C, Stage D, Stage E"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2:H37"/>
  <sheetViews>
    <sheetView tabSelected="1" zoomScaleNormal="100" workbookViewId="0">
      <pane ySplit="3" topLeftCell="A4" activePane="bottomLeft" state="frozen"/>
      <selection activeCell="B1" sqref="B1"/>
      <selection pane="bottomLeft" activeCell="K11" sqref="K11"/>
    </sheetView>
  </sheetViews>
  <sheetFormatPr defaultRowHeight="15"/>
  <cols>
    <col min="1" max="1" width="3.42578125" customWidth="1"/>
    <col min="2" max="2" width="2.5703125" customWidth="1"/>
    <col min="3" max="3" width="2.140625" customWidth="1"/>
    <col min="4" max="4" width="43.140625" customWidth="1"/>
    <col min="5" max="5" width="17" customWidth="1"/>
    <col min="6" max="6" width="9.140625" style="1" customWidth="1"/>
    <col min="7" max="7" width="13.5703125" customWidth="1"/>
    <col min="8" max="8" width="2.140625" customWidth="1"/>
  </cols>
  <sheetData>
    <row r="2" spans="3:8">
      <c r="D2" t="s">
        <v>2</v>
      </c>
    </row>
    <row r="3" spans="3:8" ht="15.75" thickBot="1"/>
    <row r="4" spans="3:8" ht="15.75" thickBot="1">
      <c r="C4" s="2"/>
      <c r="D4" s="3"/>
      <c r="E4" s="3"/>
      <c r="F4" s="4"/>
      <c r="G4" s="3"/>
      <c r="H4" s="5"/>
    </row>
    <row r="5" spans="3:8" ht="15.75" thickBot="1">
      <c r="C5" s="6"/>
      <c r="D5" s="7" t="s">
        <v>3</v>
      </c>
      <c r="E5" s="8"/>
      <c r="F5" s="9"/>
      <c r="G5" s="10"/>
      <c r="H5" s="11"/>
    </row>
    <row r="6" spans="3:8">
      <c r="C6" s="6"/>
      <c r="D6" s="12" t="s">
        <v>5</v>
      </c>
      <c r="E6" s="13" t="s">
        <v>49</v>
      </c>
      <c r="F6" s="14" t="s">
        <v>80</v>
      </c>
      <c r="G6" s="16"/>
      <c r="H6" s="11"/>
    </row>
    <row r="7" spans="3:8">
      <c r="C7" s="6"/>
      <c r="D7" s="12" t="s">
        <v>8</v>
      </c>
      <c r="E7" s="17" t="s">
        <v>9</v>
      </c>
      <c r="F7" s="14" t="s">
        <v>7</v>
      </c>
      <c r="G7" s="16"/>
      <c r="H7" s="11"/>
    </row>
    <row r="8" spans="3:8">
      <c r="C8" s="6"/>
      <c r="D8" s="12" t="s">
        <v>12</v>
      </c>
      <c r="E8" s="18">
        <v>126</v>
      </c>
      <c r="F8" s="14" t="s">
        <v>11</v>
      </c>
      <c r="G8" s="16"/>
      <c r="H8" s="11"/>
    </row>
    <row r="9" spans="3:8">
      <c r="C9" s="6"/>
      <c r="D9" s="12" t="s">
        <v>15</v>
      </c>
      <c r="E9" s="18" t="s">
        <v>16</v>
      </c>
      <c r="F9" s="21"/>
      <c r="G9" s="16"/>
      <c r="H9" s="11"/>
    </row>
    <row r="10" spans="3:8">
      <c r="C10" s="6"/>
      <c r="D10" s="131" t="s">
        <v>17</v>
      </c>
      <c r="E10" s="125"/>
      <c r="F10" s="126"/>
      <c r="G10" s="16"/>
      <c r="H10" s="11"/>
    </row>
    <row r="11" spans="3:8">
      <c r="C11" s="6"/>
      <c r="D11" s="12" t="s">
        <v>77</v>
      </c>
      <c r="E11" s="128" t="s">
        <v>78</v>
      </c>
      <c r="F11" s="14"/>
      <c r="G11" s="16"/>
      <c r="H11" s="11"/>
    </row>
    <row r="12" spans="3:8" ht="15.75" thickBot="1">
      <c r="C12" s="6"/>
      <c r="D12" s="25" t="s">
        <v>79</v>
      </c>
      <c r="E12" s="130">
        <f>IF($E$11="","",IF($E$11="Stage A",'Rates_DO NOT DELETE'!$U$6,IF($E$11="Stage B",'Rates_DO NOT DELETE'!$U$7,IF($E$11="Stage C",'Rates_DO NOT DELETE'!$U$8,IF($E$11="Stage D",'Rates_DO NOT DELETE'!$U$9,IF($E$11="Stage E",'Rates_DO NOT DELETE'!$U$10,0%))))))</f>
        <v>0</v>
      </c>
      <c r="F12" s="19"/>
      <c r="G12" s="20"/>
      <c r="H12" s="11"/>
    </row>
    <row r="13" spans="3:8">
      <c r="C13" s="6"/>
      <c r="D13" s="22"/>
      <c r="E13" s="23"/>
      <c r="F13" s="24"/>
      <c r="G13" s="22"/>
      <c r="H13" s="11"/>
    </row>
    <row r="14" spans="3:8">
      <c r="C14" s="6"/>
      <c r="D14" s="26" t="s">
        <v>18</v>
      </c>
      <c r="E14" s="27"/>
      <c r="F14" s="28"/>
      <c r="G14" s="29"/>
      <c r="H14" s="11"/>
    </row>
    <row r="15" spans="3:8">
      <c r="C15" s="6"/>
      <c r="D15" s="30"/>
      <c r="E15" s="22"/>
      <c r="F15" s="24"/>
      <c r="G15" s="22"/>
      <c r="H15" s="11"/>
    </row>
    <row r="16" spans="3:8">
      <c r="C16" s="6"/>
      <c r="D16" s="33" t="s">
        <v>19</v>
      </c>
      <c r="E16" s="24" t="str">
        <f>IF($E$7="","",+$E$7 &amp;" meter")</f>
        <v>1" meter</v>
      </c>
      <c r="F16" s="24"/>
      <c r="G16" s="32">
        <f>+IF($E$6="",0,IF($E$7="",0,IF($E$8="",0,IF($E$9="",0,IF($E$6="Inside City",VLOOKUP($E$7,'Rates_DO NOT DELETE'!$A$6:$C$12,3,FALSE),IF($E$6="Outside City",VLOOKUP($E$7,'Rates_DO NOT DELETE'!$A$6:$E$12,5,FALSE),0))))))</f>
        <v>48.97</v>
      </c>
      <c r="H16" s="11"/>
    </row>
    <row r="17" spans="3:8">
      <c r="C17" s="6"/>
      <c r="D17" s="33"/>
      <c r="E17" s="22"/>
      <c r="F17" s="24"/>
      <c r="G17" s="22"/>
      <c r="H17" s="11"/>
    </row>
    <row r="18" spans="3:8">
      <c r="C18" s="6"/>
      <c r="D18" s="33" t="s">
        <v>20</v>
      </c>
      <c r="E18" s="34" t="s">
        <v>21</v>
      </c>
      <c r="F18" s="34" t="s">
        <v>22</v>
      </c>
      <c r="G18" s="35" t="s">
        <v>23</v>
      </c>
      <c r="H18" s="11"/>
    </row>
    <row r="19" spans="3:8">
      <c r="C19" s="6"/>
      <c r="D19" s="41"/>
      <c r="E19" s="37">
        <f>+ROUND(IF($E$6="",0,IF($E$6="Inside City",'Rates_DO NOT DELETE'!C26,IF($E$6="Outside City",'Rates_DO NOT DELETE'!E26,"")))*IF($E$11="",1,IF($E$11="Stage A",'Rates_DO NOT DELETE'!$L$22,IF($E$11="Stage B",'Rates_DO NOT DELETE'!$M$22,IF($E$11="Stage C",'Rates_DO NOT DELETE'!$N$22,IF($E$11="Stage D",'Rates_DO NOT DELETE'!$O$22,IF($E$11="Stage E",'Rates_DO NOT DELETE'!$P$22,1)))))),2)</f>
        <v>6.63</v>
      </c>
      <c r="F19" s="38">
        <f>+IF($E$6="",0,IF($E$7="",0,IF($E$8="",0,IF($E$9="",0,$E$8))))</f>
        <v>126</v>
      </c>
      <c r="G19" s="42">
        <f>+F19*E19</f>
        <v>835.38</v>
      </c>
      <c r="H19" s="11"/>
    </row>
    <row r="20" spans="3:8">
      <c r="C20" s="6"/>
      <c r="D20" s="22"/>
      <c r="E20" s="22"/>
      <c r="F20" s="24"/>
      <c r="G20" s="22"/>
      <c r="H20" s="11"/>
    </row>
    <row r="21" spans="3:8">
      <c r="C21" s="6"/>
      <c r="D21" s="22" t="s">
        <v>58</v>
      </c>
      <c r="E21" s="37">
        <f>+ROUND(IF($E$6="",0,IF($E$6="Inside City",'Rates_DO NOT DELETE'!$C$28,IF($E$6="Outside City",'Rates_DO NOT DELETE'!$E$28,"")))*IF($E$11="",1,IF($E$11="Stage A",'Rates_DO NOT DELETE'!$L$22,IF($E$11="Stage B",'Rates_DO NOT DELETE'!$M$22,IF($E$11="Stage C",'Rates_DO NOT DELETE'!$N$22,IF($E$11="Stage D",'Rates_DO NOT DELETE'!$O$22,IF($E$11="Stage E",'Rates_DO NOT DELETE'!$P$22,1)))))),2)</f>
        <v>0.23</v>
      </c>
      <c r="F21" s="38">
        <f>+F19</f>
        <v>126</v>
      </c>
      <c r="G21" s="88">
        <f>+F21*E21</f>
        <v>28.98</v>
      </c>
      <c r="H21" s="11"/>
    </row>
    <row r="22" spans="3:8">
      <c r="C22" s="6"/>
      <c r="D22" s="22"/>
      <c r="E22" s="22"/>
      <c r="F22" s="24"/>
      <c r="G22" s="22"/>
      <c r="H22" s="11"/>
    </row>
    <row r="23" spans="3:8">
      <c r="C23" s="6"/>
      <c r="D23" s="45" t="s">
        <v>25</v>
      </c>
      <c r="E23" s="46"/>
      <c r="F23" s="47"/>
      <c r="G23" s="48">
        <f>G19+G16+G21</f>
        <v>913.33</v>
      </c>
      <c r="H23" s="11"/>
    </row>
    <row r="24" spans="3:8">
      <c r="C24" s="6"/>
      <c r="D24" s="22"/>
      <c r="E24" s="22"/>
      <c r="F24" s="24"/>
      <c r="G24" s="22"/>
      <c r="H24" s="11"/>
    </row>
    <row r="25" spans="3:8">
      <c r="C25" s="6"/>
      <c r="D25" s="26" t="s">
        <v>26</v>
      </c>
      <c r="E25" s="27"/>
      <c r="F25" s="28"/>
      <c r="G25" s="29"/>
      <c r="H25" s="11"/>
    </row>
    <row r="26" spans="3:8">
      <c r="C26" s="6"/>
      <c r="D26" s="33" t="str">
        <f>+IF($E$6="Outside City","Not Applicable; City of Beverly Hills","Fixed Service Charge")</f>
        <v>Fixed Service Charge</v>
      </c>
      <c r="E26" s="22"/>
      <c r="F26" s="24"/>
      <c r="G26" s="52" t="str">
        <f>+IF($E$6="Outside City","",IF($E$6="",0,IF($E$7="",0,IF($E$8="",0,IF($E$9="",0,IF($E$6="Outside City","","$34.20"))))))</f>
        <v>$34.20</v>
      </c>
      <c r="H26" s="11"/>
    </row>
    <row r="27" spans="3:8">
      <c r="C27" s="6"/>
      <c r="D27" s="33" t="str">
        <f>+IF($E$6="Outside City","does not provide Sewer service to Outside City customers","")</f>
        <v/>
      </c>
      <c r="E27" s="22"/>
      <c r="F27" s="24"/>
      <c r="G27" s="53"/>
      <c r="H27" s="11"/>
    </row>
    <row r="28" spans="3:8">
      <c r="C28" s="6"/>
      <c r="D28" s="33" t="str">
        <f>+IF($E$6="Outside City","","Quantity Charge")</f>
        <v>Quantity Charge</v>
      </c>
      <c r="E28" s="34" t="str">
        <f>+IF($E$6="Outside City","","Rate ($/hcf)")</f>
        <v>Rate ($/hcf)</v>
      </c>
      <c r="F28" s="34" t="str">
        <f>+IF($E$6="Outside City","","hcf")</f>
        <v>hcf</v>
      </c>
      <c r="G28" s="35" t="str">
        <f>+IF($E$6="Outside City","","Charge")</f>
        <v>Charge</v>
      </c>
      <c r="H28" s="11"/>
    </row>
    <row r="29" spans="3:8">
      <c r="C29" s="6"/>
      <c r="D29" s="55"/>
      <c r="E29" s="37" t="str">
        <f>+IF($E$6="",0,IF($E$6="Outside City","","$4.74"))</f>
        <v>$4.74</v>
      </c>
      <c r="F29" s="38">
        <f>+IF($E$6="",0,IF($E$6="Outside City","",IF($E$7="",0,IF($E$8="",0,IF($E$9="",0,$E$8)))))</f>
        <v>126</v>
      </c>
      <c r="G29" s="56">
        <f>+IF($E$6="Outside City","",F29*E29)</f>
        <v>597.24</v>
      </c>
      <c r="H29" s="11"/>
    </row>
    <row r="30" spans="3:8">
      <c r="C30" s="6"/>
      <c r="D30" s="55"/>
      <c r="E30" s="22"/>
      <c r="F30" s="24"/>
      <c r="G30" s="53"/>
      <c r="H30" s="11"/>
    </row>
    <row r="31" spans="3:8">
      <c r="C31" s="6"/>
      <c r="D31" s="33"/>
      <c r="E31" s="34" t="str">
        <f>+IF($E$6="Outside City","","Rate ($/hcf)")</f>
        <v>Rate ($/hcf)</v>
      </c>
      <c r="F31" s="34" t="str">
        <f>+IF($E$6="Outside City","","hcf")</f>
        <v>hcf</v>
      </c>
      <c r="G31" s="35" t="str">
        <f>+IF($E$6="Outside City","","Charge")</f>
        <v>Charge</v>
      </c>
      <c r="H31" s="11"/>
    </row>
    <row r="32" spans="3:8">
      <c r="C32" s="6"/>
      <c r="D32" s="33" t="str">
        <f>+IF($E$6="Outside City","","Strength Surcharge")</f>
        <v>Strength Surcharge</v>
      </c>
      <c r="E32" s="37">
        <f>+IF($E$6="",0,IF($E$6="Outside City","",IF($E$9="Yes",2.34,0)))</f>
        <v>2.34</v>
      </c>
      <c r="F32" s="38">
        <f>+IF($E$6="",0,IF($E$6="Outside City","",IF($E$7="",0,IF($E$8="",0,IF($E$9="",0,IF(E9="Yes",$E$8,0))))))</f>
        <v>126</v>
      </c>
      <c r="G32" s="56">
        <f>+IF($E$6="Outside City","",F32*E32)</f>
        <v>294.83999999999997</v>
      </c>
      <c r="H32" s="11"/>
    </row>
    <row r="33" spans="3:8">
      <c r="C33" s="6"/>
      <c r="D33" s="65"/>
      <c r="E33" s="65"/>
      <c r="F33" s="66"/>
      <c r="G33" s="65"/>
      <c r="H33" s="11"/>
    </row>
    <row r="34" spans="3:8">
      <c r="C34" s="71"/>
      <c r="D34" s="58" t="s">
        <v>29</v>
      </c>
      <c r="E34" s="59"/>
      <c r="F34" s="60"/>
      <c r="G34" s="52">
        <f>++IF($E$6="Outside City",0,G32+G29+G26)</f>
        <v>926.28</v>
      </c>
      <c r="H34" s="72"/>
    </row>
    <row r="35" spans="3:8">
      <c r="C35" s="6"/>
      <c r="H35" s="11"/>
    </row>
    <row r="36" spans="3:8">
      <c r="C36" s="6"/>
      <c r="D36" s="62" t="s">
        <v>30</v>
      </c>
      <c r="E36" s="62"/>
      <c r="F36" s="63"/>
      <c r="G36" s="64">
        <f>+G34+G23</f>
        <v>1839.6100000000001</v>
      </c>
      <c r="H36" s="11"/>
    </row>
    <row r="37" spans="3:8" ht="15.75" thickBot="1">
      <c r="C37" s="67"/>
      <c r="D37" s="68"/>
      <c r="E37" s="68"/>
      <c r="F37" s="69"/>
      <c r="G37" s="68"/>
      <c r="H37" s="70"/>
    </row>
  </sheetData>
  <sheetProtection selectLockedCells="1"/>
  <dataConsolidate/>
  <conditionalFormatting sqref="G29 G26 G32">
    <cfRule type="containsBlanks" dxfId="0" priority="1">
      <formula>LEN(TRIM(G26))=0</formula>
    </cfRule>
  </conditionalFormatting>
  <dataValidations count="4">
    <dataValidation type="list" allowBlank="1" showErrorMessage="1" prompt="Use drop down list to enter data" sqref="E7">
      <formula1>"1"", 1 1/2"", 2"", 3"", 4"", 6"""</formula1>
    </dataValidation>
    <dataValidation type="whole" allowBlank="1" showInputMessage="1" showErrorMessage="1" error="Enter whole numbers only...no decimals" sqref="E8">
      <formula1>0</formula1>
      <formula2>9999</formula2>
    </dataValidation>
    <dataValidation type="list" allowBlank="1" showErrorMessage="1" prompt="Use drop down list to enter data" sqref="E6">
      <formula1>"Inside City, Outside City"</formula1>
    </dataValidation>
    <dataValidation type="list" allowBlank="1" showInputMessage="1" showErrorMessage="1" error="Input value must be selected from the drop down list" sqref="E11">
      <formula1>"None, Stage A, Stage B, Stage C, Stage D, Stage E"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Use drop down list to enter data">
          <x14:formula1>
            <xm:f>'Rates_DO NOT DELETE'!$B$31:$B$32</xm:f>
          </x14:formula1>
          <xm:sqref>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32"/>
  <sheetViews>
    <sheetView workbookViewId="0">
      <selection activeCell="I3" sqref="I3"/>
    </sheetView>
  </sheetViews>
  <sheetFormatPr defaultColWidth="8.85546875" defaultRowHeight="15"/>
  <cols>
    <col min="1" max="1" width="17.140625" style="76" customWidth="1"/>
    <col min="2" max="2" width="13.28515625" style="76" customWidth="1"/>
    <col min="3" max="3" width="11.5703125" style="76" bestFit="1" customWidth="1"/>
    <col min="4" max="4" width="11.5703125" style="76" customWidth="1"/>
    <col min="5" max="5" width="11.5703125" style="76" bestFit="1" customWidth="1"/>
    <col min="6" max="10" width="8.85546875" style="76"/>
    <col min="11" max="11" width="11.28515625" style="76" customWidth="1"/>
    <col min="12" max="16" width="10.7109375" style="76" customWidth="1"/>
    <col min="17" max="237" width="8.85546875" style="76"/>
    <col min="238" max="238" width="20.85546875" style="76" customWidth="1"/>
    <col min="239" max="245" width="11.5703125" style="76" bestFit="1" customWidth="1"/>
    <col min="246" max="249" width="11.5703125" style="76" customWidth="1"/>
    <col min="250" max="250" width="15" style="76" customWidth="1"/>
    <col min="251" max="251" width="21.7109375" style="76" bestFit="1" customWidth="1"/>
    <col min="252" max="493" width="8.85546875" style="76"/>
    <col min="494" max="494" width="20.85546875" style="76" customWidth="1"/>
    <col min="495" max="501" width="11.5703125" style="76" bestFit="1" customWidth="1"/>
    <col min="502" max="505" width="11.5703125" style="76" customWidth="1"/>
    <col min="506" max="506" width="15" style="76" customWidth="1"/>
    <col min="507" max="507" width="21.7109375" style="76" bestFit="1" customWidth="1"/>
    <col min="508" max="749" width="8.85546875" style="76"/>
    <col min="750" max="750" width="20.85546875" style="76" customWidth="1"/>
    <col min="751" max="757" width="11.5703125" style="76" bestFit="1" customWidth="1"/>
    <col min="758" max="761" width="11.5703125" style="76" customWidth="1"/>
    <col min="762" max="762" width="15" style="76" customWidth="1"/>
    <col min="763" max="763" width="21.7109375" style="76" bestFit="1" customWidth="1"/>
    <col min="764" max="1005" width="8.85546875" style="76"/>
    <col min="1006" max="1006" width="20.85546875" style="76" customWidth="1"/>
    <col min="1007" max="1013" width="11.5703125" style="76" bestFit="1" customWidth="1"/>
    <col min="1014" max="1017" width="11.5703125" style="76" customWidth="1"/>
    <col min="1018" max="1018" width="15" style="76" customWidth="1"/>
    <col min="1019" max="1019" width="21.7109375" style="76" bestFit="1" customWidth="1"/>
    <col min="1020" max="1261" width="8.85546875" style="76"/>
    <col min="1262" max="1262" width="20.85546875" style="76" customWidth="1"/>
    <col min="1263" max="1269" width="11.5703125" style="76" bestFit="1" customWidth="1"/>
    <col min="1270" max="1273" width="11.5703125" style="76" customWidth="1"/>
    <col min="1274" max="1274" width="15" style="76" customWidth="1"/>
    <col min="1275" max="1275" width="21.7109375" style="76" bestFit="1" customWidth="1"/>
    <col min="1276" max="1517" width="8.85546875" style="76"/>
    <col min="1518" max="1518" width="20.85546875" style="76" customWidth="1"/>
    <col min="1519" max="1525" width="11.5703125" style="76" bestFit="1" customWidth="1"/>
    <col min="1526" max="1529" width="11.5703125" style="76" customWidth="1"/>
    <col min="1530" max="1530" width="15" style="76" customWidth="1"/>
    <col min="1531" max="1531" width="21.7109375" style="76" bestFit="1" customWidth="1"/>
    <col min="1532" max="1773" width="8.85546875" style="76"/>
    <col min="1774" max="1774" width="20.85546875" style="76" customWidth="1"/>
    <col min="1775" max="1781" width="11.5703125" style="76" bestFit="1" customWidth="1"/>
    <col min="1782" max="1785" width="11.5703125" style="76" customWidth="1"/>
    <col min="1786" max="1786" width="15" style="76" customWidth="1"/>
    <col min="1787" max="1787" width="21.7109375" style="76" bestFit="1" customWidth="1"/>
    <col min="1788" max="2029" width="8.85546875" style="76"/>
    <col min="2030" max="2030" width="20.85546875" style="76" customWidth="1"/>
    <col min="2031" max="2037" width="11.5703125" style="76" bestFit="1" customWidth="1"/>
    <col min="2038" max="2041" width="11.5703125" style="76" customWidth="1"/>
    <col min="2042" max="2042" width="15" style="76" customWidth="1"/>
    <col min="2043" max="2043" width="21.7109375" style="76" bestFit="1" customWidth="1"/>
    <col min="2044" max="2285" width="8.85546875" style="76"/>
    <col min="2286" max="2286" width="20.85546875" style="76" customWidth="1"/>
    <col min="2287" max="2293" width="11.5703125" style="76" bestFit="1" customWidth="1"/>
    <col min="2294" max="2297" width="11.5703125" style="76" customWidth="1"/>
    <col min="2298" max="2298" width="15" style="76" customWidth="1"/>
    <col min="2299" max="2299" width="21.7109375" style="76" bestFit="1" customWidth="1"/>
    <col min="2300" max="2541" width="8.85546875" style="76"/>
    <col min="2542" max="2542" width="20.85546875" style="76" customWidth="1"/>
    <col min="2543" max="2549" width="11.5703125" style="76" bestFit="1" customWidth="1"/>
    <col min="2550" max="2553" width="11.5703125" style="76" customWidth="1"/>
    <col min="2554" max="2554" width="15" style="76" customWidth="1"/>
    <col min="2555" max="2555" width="21.7109375" style="76" bestFit="1" customWidth="1"/>
    <col min="2556" max="2797" width="8.85546875" style="76"/>
    <col min="2798" max="2798" width="20.85546875" style="76" customWidth="1"/>
    <col min="2799" max="2805" width="11.5703125" style="76" bestFit="1" customWidth="1"/>
    <col min="2806" max="2809" width="11.5703125" style="76" customWidth="1"/>
    <col min="2810" max="2810" width="15" style="76" customWidth="1"/>
    <col min="2811" max="2811" width="21.7109375" style="76" bestFit="1" customWidth="1"/>
    <col min="2812" max="3053" width="8.85546875" style="76"/>
    <col min="3054" max="3054" width="20.85546875" style="76" customWidth="1"/>
    <col min="3055" max="3061" width="11.5703125" style="76" bestFit="1" customWidth="1"/>
    <col min="3062" max="3065" width="11.5703125" style="76" customWidth="1"/>
    <col min="3066" max="3066" width="15" style="76" customWidth="1"/>
    <col min="3067" max="3067" width="21.7109375" style="76" bestFit="1" customWidth="1"/>
    <col min="3068" max="3309" width="8.85546875" style="76"/>
    <col min="3310" max="3310" width="20.85546875" style="76" customWidth="1"/>
    <col min="3311" max="3317" width="11.5703125" style="76" bestFit="1" customWidth="1"/>
    <col min="3318" max="3321" width="11.5703125" style="76" customWidth="1"/>
    <col min="3322" max="3322" width="15" style="76" customWidth="1"/>
    <col min="3323" max="3323" width="21.7109375" style="76" bestFit="1" customWidth="1"/>
    <col min="3324" max="3565" width="8.85546875" style="76"/>
    <col min="3566" max="3566" width="20.85546875" style="76" customWidth="1"/>
    <col min="3567" max="3573" width="11.5703125" style="76" bestFit="1" customWidth="1"/>
    <col min="3574" max="3577" width="11.5703125" style="76" customWidth="1"/>
    <col min="3578" max="3578" width="15" style="76" customWidth="1"/>
    <col min="3579" max="3579" width="21.7109375" style="76" bestFit="1" customWidth="1"/>
    <col min="3580" max="3821" width="8.85546875" style="76"/>
    <col min="3822" max="3822" width="20.85546875" style="76" customWidth="1"/>
    <col min="3823" max="3829" width="11.5703125" style="76" bestFit="1" customWidth="1"/>
    <col min="3830" max="3833" width="11.5703125" style="76" customWidth="1"/>
    <col min="3834" max="3834" width="15" style="76" customWidth="1"/>
    <col min="3835" max="3835" width="21.7109375" style="76" bestFit="1" customWidth="1"/>
    <col min="3836" max="4077" width="8.85546875" style="76"/>
    <col min="4078" max="4078" width="20.85546875" style="76" customWidth="1"/>
    <col min="4079" max="4085" width="11.5703125" style="76" bestFit="1" customWidth="1"/>
    <col min="4086" max="4089" width="11.5703125" style="76" customWidth="1"/>
    <col min="4090" max="4090" width="15" style="76" customWidth="1"/>
    <col min="4091" max="4091" width="21.7109375" style="76" bestFit="1" customWidth="1"/>
    <col min="4092" max="4333" width="8.85546875" style="76"/>
    <col min="4334" max="4334" width="20.85546875" style="76" customWidth="1"/>
    <col min="4335" max="4341" width="11.5703125" style="76" bestFit="1" customWidth="1"/>
    <col min="4342" max="4345" width="11.5703125" style="76" customWidth="1"/>
    <col min="4346" max="4346" width="15" style="76" customWidth="1"/>
    <col min="4347" max="4347" width="21.7109375" style="76" bestFit="1" customWidth="1"/>
    <col min="4348" max="4589" width="8.85546875" style="76"/>
    <col min="4590" max="4590" width="20.85546875" style="76" customWidth="1"/>
    <col min="4591" max="4597" width="11.5703125" style="76" bestFit="1" customWidth="1"/>
    <col min="4598" max="4601" width="11.5703125" style="76" customWidth="1"/>
    <col min="4602" max="4602" width="15" style="76" customWidth="1"/>
    <col min="4603" max="4603" width="21.7109375" style="76" bestFit="1" customWidth="1"/>
    <col min="4604" max="4845" width="8.85546875" style="76"/>
    <col min="4846" max="4846" width="20.85546875" style="76" customWidth="1"/>
    <col min="4847" max="4853" width="11.5703125" style="76" bestFit="1" customWidth="1"/>
    <col min="4854" max="4857" width="11.5703125" style="76" customWidth="1"/>
    <col min="4858" max="4858" width="15" style="76" customWidth="1"/>
    <col min="4859" max="4859" width="21.7109375" style="76" bestFit="1" customWidth="1"/>
    <col min="4860" max="5101" width="8.85546875" style="76"/>
    <col min="5102" max="5102" width="20.85546875" style="76" customWidth="1"/>
    <col min="5103" max="5109" width="11.5703125" style="76" bestFit="1" customWidth="1"/>
    <col min="5110" max="5113" width="11.5703125" style="76" customWidth="1"/>
    <col min="5114" max="5114" width="15" style="76" customWidth="1"/>
    <col min="5115" max="5115" width="21.7109375" style="76" bestFit="1" customWidth="1"/>
    <col min="5116" max="5357" width="8.85546875" style="76"/>
    <col min="5358" max="5358" width="20.85546875" style="76" customWidth="1"/>
    <col min="5359" max="5365" width="11.5703125" style="76" bestFit="1" customWidth="1"/>
    <col min="5366" max="5369" width="11.5703125" style="76" customWidth="1"/>
    <col min="5370" max="5370" width="15" style="76" customWidth="1"/>
    <col min="5371" max="5371" width="21.7109375" style="76" bestFit="1" customWidth="1"/>
    <col min="5372" max="5613" width="8.85546875" style="76"/>
    <col min="5614" max="5614" width="20.85546875" style="76" customWidth="1"/>
    <col min="5615" max="5621" width="11.5703125" style="76" bestFit="1" customWidth="1"/>
    <col min="5622" max="5625" width="11.5703125" style="76" customWidth="1"/>
    <col min="5626" max="5626" width="15" style="76" customWidth="1"/>
    <col min="5627" max="5627" width="21.7109375" style="76" bestFit="1" customWidth="1"/>
    <col min="5628" max="5869" width="8.85546875" style="76"/>
    <col min="5870" max="5870" width="20.85546875" style="76" customWidth="1"/>
    <col min="5871" max="5877" width="11.5703125" style="76" bestFit="1" customWidth="1"/>
    <col min="5878" max="5881" width="11.5703125" style="76" customWidth="1"/>
    <col min="5882" max="5882" width="15" style="76" customWidth="1"/>
    <col min="5883" max="5883" width="21.7109375" style="76" bestFit="1" customWidth="1"/>
    <col min="5884" max="6125" width="8.85546875" style="76"/>
    <col min="6126" max="6126" width="20.85546875" style="76" customWidth="1"/>
    <col min="6127" max="6133" width="11.5703125" style="76" bestFit="1" customWidth="1"/>
    <col min="6134" max="6137" width="11.5703125" style="76" customWidth="1"/>
    <col min="6138" max="6138" width="15" style="76" customWidth="1"/>
    <col min="6139" max="6139" width="21.7109375" style="76" bestFit="1" customWidth="1"/>
    <col min="6140" max="6381" width="8.85546875" style="76"/>
    <col min="6382" max="6382" width="20.85546875" style="76" customWidth="1"/>
    <col min="6383" max="6389" width="11.5703125" style="76" bestFit="1" customWidth="1"/>
    <col min="6390" max="6393" width="11.5703125" style="76" customWidth="1"/>
    <col min="6394" max="6394" width="15" style="76" customWidth="1"/>
    <col min="6395" max="6395" width="21.7109375" style="76" bestFit="1" customWidth="1"/>
    <col min="6396" max="6637" width="8.85546875" style="76"/>
    <col min="6638" max="6638" width="20.85546875" style="76" customWidth="1"/>
    <col min="6639" max="6645" width="11.5703125" style="76" bestFit="1" customWidth="1"/>
    <col min="6646" max="6649" width="11.5703125" style="76" customWidth="1"/>
    <col min="6650" max="6650" width="15" style="76" customWidth="1"/>
    <col min="6651" max="6651" width="21.7109375" style="76" bestFit="1" customWidth="1"/>
    <col min="6652" max="6893" width="8.85546875" style="76"/>
    <col min="6894" max="6894" width="20.85546875" style="76" customWidth="1"/>
    <col min="6895" max="6901" width="11.5703125" style="76" bestFit="1" customWidth="1"/>
    <col min="6902" max="6905" width="11.5703125" style="76" customWidth="1"/>
    <col min="6906" max="6906" width="15" style="76" customWidth="1"/>
    <col min="6907" max="6907" width="21.7109375" style="76" bestFit="1" customWidth="1"/>
    <col min="6908" max="7149" width="8.85546875" style="76"/>
    <col min="7150" max="7150" width="20.85546875" style="76" customWidth="1"/>
    <col min="7151" max="7157" width="11.5703125" style="76" bestFit="1" customWidth="1"/>
    <col min="7158" max="7161" width="11.5703125" style="76" customWidth="1"/>
    <col min="7162" max="7162" width="15" style="76" customWidth="1"/>
    <col min="7163" max="7163" width="21.7109375" style="76" bestFit="1" customWidth="1"/>
    <col min="7164" max="7405" width="8.85546875" style="76"/>
    <col min="7406" max="7406" width="20.85546875" style="76" customWidth="1"/>
    <col min="7407" max="7413" width="11.5703125" style="76" bestFit="1" customWidth="1"/>
    <col min="7414" max="7417" width="11.5703125" style="76" customWidth="1"/>
    <col min="7418" max="7418" width="15" style="76" customWidth="1"/>
    <col min="7419" max="7419" width="21.7109375" style="76" bestFit="1" customWidth="1"/>
    <col min="7420" max="7661" width="8.85546875" style="76"/>
    <col min="7662" max="7662" width="20.85546875" style="76" customWidth="1"/>
    <col min="7663" max="7669" width="11.5703125" style="76" bestFit="1" customWidth="1"/>
    <col min="7670" max="7673" width="11.5703125" style="76" customWidth="1"/>
    <col min="7674" max="7674" width="15" style="76" customWidth="1"/>
    <col min="7675" max="7675" width="21.7109375" style="76" bestFit="1" customWidth="1"/>
    <col min="7676" max="7917" width="8.85546875" style="76"/>
    <col min="7918" max="7918" width="20.85546875" style="76" customWidth="1"/>
    <col min="7919" max="7925" width="11.5703125" style="76" bestFit="1" customWidth="1"/>
    <col min="7926" max="7929" width="11.5703125" style="76" customWidth="1"/>
    <col min="7930" max="7930" width="15" style="76" customWidth="1"/>
    <col min="7931" max="7931" width="21.7109375" style="76" bestFit="1" customWidth="1"/>
    <col min="7932" max="8173" width="8.85546875" style="76"/>
    <col min="8174" max="8174" width="20.85546875" style="76" customWidth="1"/>
    <col min="8175" max="8181" width="11.5703125" style="76" bestFit="1" customWidth="1"/>
    <col min="8182" max="8185" width="11.5703125" style="76" customWidth="1"/>
    <col min="8186" max="8186" width="15" style="76" customWidth="1"/>
    <col min="8187" max="8187" width="21.7109375" style="76" bestFit="1" customWidth="1"/>
    <col min="8188" max="8429" width="8.85546875" style="76"/>
    <col min="8430" max="8430" width="20.85546875" style="76" customWidth="1"/>
    <col min="8431" max="8437" width="11.5703125" style="76" bestFit="1" customWidth="1"/>
    <col min="8438" max="8441" width="11.5703125" style="76" customWidth="1"/>
    <col min="8442" max="8442" width="15" style="76" customWidth="1"/>
    <col min="8443" max="8443" width="21.7109375" style="76" bestFit="1" customWidth="1"/>
    <col min="8444" max="8685" width="8.85546875" style="76"/>
    <col min="8686" max="8686" width="20.85546875" style="76" customWidth="1"/>
    <col min="8687" max="8693" width="11.5703125" style="76" bestFit="1" customWidth="1"/>
    <col min="8694" max="8697" width="11.5703125" style="76" customWidth="1"/>
    <col min="8698" max="8698" width="15" style="76" customWidth="1"/>
    <col min="8699" max="8699" width="21.7109375" style="76" bestFit="1" customWidth="1"/>
    <col min="8700" max="8941" width="8.85546875" style="76"/>
    <col min="8942" max="8942" width="20.85546875" style="76" customWidth="1"/>
    <col min="8943" max="8949" width="11.5703125" style="76" bestFit="1" customWidth="1"/>
    <col min="8950" max="8953" width="11.5703125" style="76" customWidth="1"/>
    <col min="8954" max="8954" width="15" style="76" customWidth="1"/>
    <col min="8955" max="8955" width="21.7109375" style="76" bestFit="1" customWidth="1"/>
    <col min="8956" max="9197" width="8.85546875" style="76"/>
    <col min="9198" max="9198" width="20.85546875" style="76" customWidth="1"/>
    <col min="9199" max="9205" width="11.5703125" style="76" bestFit="1" customWidth="1"/>
    <col min="9206" max="9209" width="11.5703125" style="76" customWidth="1"/>
    <col min="9210" max="9210" width="15" style="76" customWidth="1"/>
    <col min="9211" max="9211" width="21.7109375" style="76" bestFit="1" customWidth="1"/>
    <col min="9212" max="9453" width="8.85546875" style="76"/>
    <col min="9454" max="9454" width="20.85546875" style="76" customWidth="1"/>
    <col min="9455" max="9461" width="11.5703125" style="76" bestFit="1" customWidth="1"/>
    <col min="9462" max="9465" width="11.5703125" style="76" customWidth="1"/>
    <col min="9466" max="9466" width="15" style="76" customWidth="1"/>
    <col min="9467" max="9467" width="21.7109375" style="76" bestFit="1" customWidth="1"/>
    <col min="9468" max="9709" width="8.85546875" style="76"/>
    <col min="9710" max="9710" width="20.85546875" style="76" customWidth="1"/>
    <col min="9711" max="9717" width="11.5703125" style="76" bestFit="1" customWidth="1"/>
    <col min="9718" max="9721" width="11.5703125" style="76" customWidth="1"/>
    <col min="9722" max="9722" width="15" style="76" customWidth="1"/>
    <col min="9723" max="9723" width="21.7109375" style="76" bestFit="1" customWidth="1"/>
    <col min="9724" max="9965" width="8.85546875" style="76"/>
    <col min="9966" max="9966" width="20.85546875" style="76" customWidth="1"/>
    <col min="9967" max="9973" width="11.5703125" style="76" bestFit="1" customWidth="1"/>
    <col min="9974" max="9977" width="11.5703125" style="76" customWidth="1"/>
    <col min="9978" max="9978" width="15" style="76" customWidth="1"/>
    <col min="9979" max="9979" width="21.7109375" style="76" bestFit="1" customWidth="1"/>
    <col min="9980" max="10221" width="8.85546875" style="76"/>
    <col min="10222" max="10222" width="20.85546875" style="76" customWidth="1"/>
    <col min="10223" max="10229" width="11.5703125" style="76" bestFit="1" customWidth="1"/>
    <col min="10230" max="10233" width="11.5703125" style="76" customWidth="1"/>
    <col min="10234" max="10234" width="15" style="76" customWidth="1"/>
    <col min="10235" max="10235" width="21.7109375" style="76" bestFit="1" customWidth="1"/>
    <col min="10236" max="10477" width="8.85546875" style="76"/>
    <col min="10478" max="10478" width="20.85546875" style="76" customWidth="1"/>
    <col min="10479" max="10485" width="11.5703125" style="76" bestFit="1" customWidth="1"/>
    <col min="10486" max="10489" width="11.5703125" style="76" customWidth="1"/>
    <col min="10490" max="10490" width="15" style="76" customWidth="1"/>
    <col min="10491" max="10491" width="21.7109375" style="76" bestFit="1" customWidth="1"/>
    <col min="10492" max="10733" width="8.85546875" style="76"/>
    <col min="10734" max="10734" width="20.85546875" style="76" customWidth="1"/>
    <col min="10735" max="10741" width="11.5703125" style="76" bestFit="1" customWidth="1"/>
    <col min="10742" max="10745" width="11.5703125" style="76" customWidth="1"/>
    <col min="10746" max="10746" width="15" style="76" customWidth="1"/>
    <col min="10747" max="10747" width="21.7109375" style="76" bestFit="1" customWidth="1"/>
    <col min="10748" max="10989" width="8.85546875" style="76"/>
    <col min="10990" max="10990" width="20.85546875" style="76" customWidth="1"/>
    <col min="10991" max="10997" width="11.5703125" style="76" bestFit="1" customWidth="1"/>
    <col min="10998" max="11001" width="11.5703125" style="76" customWidth="1"/>
    <col min="11002" max="11002" width="15" style="76" customWidth="1"/>
    <col min="11003" max="11003" width="21.7109375" style="76" bestFit="1" customWidth="1"/>
    <col min="11004" max="11245" width="8.85546875" style="76"/>
    <col min="11246" max="11246" width="20.85546875" style="76" customWidth="1"/>
    <col min="11247" max="11253" width="11.5703125" style="76" bestFit="1" customWidth="1"/>
    <col min="11254" max="11257" width="11.5703125" style="76" customWidth="1"/>
    <col min="11258" max="11258" width="15" style="76" customWidth="1"/>
    <col min="11259" max="11259" width="21.7109375" style="76" bestFit="1" customWidth="1"/>
    <col min="11260" max="11501" width="8.85546875" style="76"/>
    <col min="11502" max="11502" width="20.85546875" style="76" customWidth="1"/>
    <col min="11503" max="11509" width="11.5703125" style="76" bestFit="1" customWidth="1"/>
    <col min="11510" max="11513" width="11.5703125" style="76" customWidth="1"/>
    <col min="11514" max="11514" width="15" style="76" customWidth="1"/>
    <col min="11515" max="11515" width="21.7109375" style="76" bestFit="1" customWidth="1"/>
    <col min="11516" max="11757" width="8.85546875" style="76"/>
    <col min="11758" max="11758" width="20.85546875" style="76" customWidth="1"/>
    <col min="11759" max="11765" width="11.5703125" style="76" bestFit="1" customWidth="1"/>
    <col min="11766" max="11769" width="11.5703125" style="76" customWidth="1"/>
    <col min="11770" max="11770" width="15" style="76" customWidth="1"/>
    <col min="11771" max="11771" width="21.7109375" style="76" bestFit="1" customWidth="1"/>
    <col min="11772" max="12013" width="8.85546875" style="76"/>
    <col min="12014" max="12014" width="20.85546875" style="76" customWidth="1"/>
    <col min="12015" max="12021" width="11.5703125" style="76" bestFit="1" customWidth="1"/>
    <col min="12022" max="12025" width="11.5703125" style="76" customWidth="1"/>
    <col min="12026" max="12026" width="15" style="76" customWidth="1"/>
    <col min="12027" max="12027" width="21.7109375" style="76" bestFit="1" customWidth="1"/>
    <col min="12028" max="12269" width="8.85546875" style="76"/>
    <col min="12270" max="12270" width="20.85546875" style="76" customWidth="1"/>
    <col min="12271" max="12277" width="11.5703125" style="76" bestFit="1" customWidth="1"/>
    <col min="12278" max="12281" width="11.5703125" style="76" customWidth="1"/>
    <col min="12282" max="12282" width="15" style="76" customWidth="1"/>
    <col min="12283" max="12283" width="21.7109375" style="76" bestFit="1" customWidth="1"/>
    <col min="12284" max="12525" width="8.85546875" style="76"/>
    <col min="12526" max="12526" width="20.85546875" style="76" customWidth="1"/>
    <col min="12527" max="12533" width="11.5703125" style="76" bestFit="1" customWidth="1"/>
    <col min="12534" max="12537" width="11.5703125" style="76" customWidth="1"/>
    <col min="12538" max="12538" width="15" style="76" customWidth="1"/>
    <col min="12539" max="12539" width="21.7109375" style="76" bestFit="1" customWidth="1"/>
    <col min="12540" max="12781" width="8.85546875" style="76"/>
    <col min="12782" max="12782" width="20.85546875" style="76" customWidth="1"/>
    <col min="12783" max="12789" width="11.5703125" style="76" bestFit="1" customWidth="1"/>
    <col min="12790" max="12793" width="11.5703125" style="76" customWidth="1"/>
    <col min="12794" max="12794" width="15" style="76" customWidth="1"/>
    <col min="12795" max="12795" width="21.7109375" style="76" bestFit="1" customWidth="1"/>
    <col min="12796" max="13037" width="8.85546875" style="76"/>
    <col min="13038" max="13038" width="20.85546875" style="76" customWidth="1"/>
    <col min="13039" max="13045" width="11.5703125" style="76" bestFit="1" customWidth="1"/>
    <col min="13046" max="13049" width="11.5703125" style="76" customWidth="1"/>
    <col min="13050" max="13050" width="15" style="76" customWidth="1"/>
    <col min="13051" max="13051" width="21.7109375" style="76" bestFit="1" customWidth="1"/>
    <col min="13052" max="13293" width="8.85546875" style="76"/>
    <col min="13294" max="13294" width="20.85546875" style="76" customWidth="1"/>
    <col min="13295" max="13301" width="11.5703125" style="76" bestFit="1" customWidth="1"/>
    <col min="13302" max="13305" width="11.5703125" style="76" customWidth="1"/>
    <col min="13306" max="13306" width="15" style="76" customWidth="1"/>
    <col min="13307" max="13307" width="21.7109375" style="76" bestFit="1" customWidth="1"/>
    <col min="13308" max="13549" width="8.85546875" style="76"/>
    <col min="13550" max="13550" width="20.85546875" style="76" customWidth="1"/>
    <col min="13551" max="13557" width="11.5703125" style="76" bestFit="1" customWidth="1"/>
    <col min="13558" max="13561" width="11.5703125" style="76" customWidth="1"/>
    <col min="13562" max="13562" width="15" style="76" customWidth="1"/>
    <col min="13563" max="13563" width="21.7109375" style="76" bestFit="1" customWidth="1"/>
    <col min="13564" max="13805" width="8.85546875" style="76"/>
    <col min="13806" max="13806" width="20.85546875" style="76" customWidth="1"/>
    <col min="13807" max="13813" width="11.5703125" style="76" bestFit="1" customWidth="1"/>
    <col min="13814" max="13817" width="11.5703125" style="76" customWidth="1"/>
    <col min="13818" max="13818" width="15" style="76" customWidth="1"/>
    <col min="13819" max="13819" width="21.7109375" style="76" bestFit="1" customWidth="1"/>
    <col min="13820" max="14061" width="8.85546875" style="76"/>
    <col min="14062" max="14062" width="20.85546875" style="76" customWidth="1"/>
    <col min="14063" max="14069" width="11.5703125" style="76" bestFit="1" customWidth="1"/>
    <col min="14070" max="14073" width="11.5703125" style="76" customWidth="1"/>
    <col min="14074" max="14074" width="15" style="76" customWidth="1"/>
    <col min="14075" max="14075" width="21.7109375" style="76" bestFit="1" customWidth="1"/>
    <col min="14076" max="14317" width="8.85546875" style="76"/>
    <col min="14318" max="14318" width="20.85546875" style="76" customWidth="1"/>
    <col min="14319" max="14325" width="11.5703125" style="76" bestFit="1" customWidth="1"/>
    <col min="14326" max="14329" width="11.5703125" style="76" customWidth="1"/>
    <col min="14330" max="14330" width="15" style="76" customWidth="1"/>
    <col min="14331" max="14331" width="21.7109375" style="76" bestFit="1" customWidth="1"/>
    <col min="14332" max="14573" width="8.85546875" style="76"/>
    <col min="14574" max="14574" width="20.85546875" style="76" customWidth="1"/>
    <col min="14575" max="14581" width="11.5703125" style="76" bestFit="1" customWidth="1"/>
    <col min="14582" max="14585" width="11.5703125" style="76" customWidth="1"/>
    <col min="14586" max="14586" width="15" style="76" customWidth="1"/>
    <col min="14587" max="14587" width="21.7109375" style="76" bestFit="1" customWidth="1"/>
    <col min="14588" max="14829" width="8.85546875" style="76"/>
    <col min="14830" max="14830" width="20.85546875" style="76" customWidth="1"/>
    <col min="14831" max="14837" width="11.5703125" style="76" bestFit="1" customWidth="1"/>
    <col min="14838" max="14841" width="11.5703125" style="76" customWidth="1"/>
    <col min="14842" max="14842" width="15" style="76" customWidth="1"/>
    <col min="14843" max="14843" width="21.7109375" style="76" bestFit="1" customWidth="1"/>
    <col min="14844" max="15085" width="8.85546875" style="76"/>
    <col min="15086" max="15086" width="20.85546875" style="76" customWidth="1"/>
    <col min="15087" max="15093" width="11.5703125" style="76" bestFit="1" customWidth="1"/>
    <col min="15094" max="15097" width="11.5703125" style="76" customWidth="1"/>
    <col min="15098" max="15098" width="15" style="76" customWidth="1"/>
    <col min="15099" max="15099" width="21.7109375" style="76" bestFit="1" customWidth="1"/>
    <col min="15100" max="15341" width="8.85546875" style="76"/>
    <col min="15342" max="15342" width="20.85546875" style="76" customWidth="1"/>
    <col min="15343" max="15349" width="11.5703125" style="76" bestFit="1" customWidth="1"/>
    <col min="15350" max="15353" width="11.5703125" style="76" customWidth="1"/>
    <col min="15354" max="15354" width="15" style="76" customWidth="1"/>
    <col min="15355" max="15355" width="21.7109375" style="76" bestFit="1" customWidth="1"/>
    <col min="15356" max="15597" width="8.85546875" style="76"/>
    <col min="15598" max="15598" width="20.85546875" style="76" customWidth="1"/>
    <col min="15599" max="15605" width="11.5703125" style="76" bestFit="1" customWidth="1"/>
    <col min="15606" max="15609" width="11.5703125" style="76" customWidth="1"/>
    <col min="15610" max="15610" width="15" style="76" customWidth="1"/>
    <col min="15611" max="15611" width="21.7109375" style="76" bestFit="1" customWidth="1"/>
    <col min="15612" max="15853" width="8.85546875" style="76"/>
    <col min="15854" max="15854" width="20.85546875" style="76" customWidth="1"/>
    <col min="15855" max="15861" width="11.5703125" style="76" bestFit="1" customWidth="1"/>
    <col min="15862" max="15865" width="11.5703125" style="76" customWidth="1"/>
    <col min="15866" max="15866" width="15" style="76" customWidth="1"/>
    <col min="15867" max="15867" width="21.7109375" style="76" bestFit="1" customWidth="1"/>
    <col min="15868" max="16109" width="8.85546875" style="76"/>
    <col min="16110" max="16110" width="20.85546875" style="76" customWidth="1"/>
    <col min="16111" max="16117" width="11.5703125" style="76" bestFit="1" customWidth="1"/>
    <col min="16118" max="16121" width="11.5703125" style="76" customWidth="1"/>
    <col min="16122" max="16122" width="15" style="76" customWidth="1"/>
    <col min="16123" max="16123" width="21.7109375" style="76" bestFit="1" customWidth="1"/>
    <col min="16124" max="16384" width="8.85546875" style="76"/>
  </cols>
  <sheetData>
    <row r="1" spans="1:22">
      <c r="A1" s="75"/>
      <c r="B1" s="75"/>
      <c r="D1" s="75"/>
    </row>
    <row r="2" spans="1:22">
      <c r="A2" s="75"/>
      <c r="B2" s="75"/>
      <c r="D2" s="75"/>
    </row>
    <row r="3" spans="1:22">
      <c r="A3" s="75"/>
      <c r="B3" s="75"/>
      <c r="D3" s="75"/>
    </row>
    <row r="4" spans="1:22" ht="15.75" thickBot="1">
      <c r="A4" s="77"/>
      <c r="B4" s="137" t="s">
        <v>49</v>
      </c>
      <c r="C4" s="137"/>
      <c r="D4" s="137" t="s">
        <v>50</v>
      </c>
      <c r="E4" s="137"/>
      <c r="R4" s="74" t="s">
        <v>32</v>
      </c>
      <c r="S4" s="121"/>
      <c r="T4" s="121"/>
      <c r="U4" s="121"/>
      <c r="V4" s="121"/>
    </row>
    <row r="5" spans="1:22" ht="15.75" thickBot="1">
      <c r="A5" s="78" t="s">
        <v>47</v>
      </c>
      <c r="B5" s="79" t="s">
        <v>34</v>
      </c>
      <c r="C5" s="79" t="s">
        <v>46</v>
      </c>
      <c r="D5" s="79" t="s">
        <v>34</v>
      </c>
      <c r="E5" s="79" t="s">
        <v>46</v>
      </c>
      <c r="K5" s="134" t="s">
        <v>60</v>
      </c>
      <c r="L5" s="135"/>
      <c r="M5" s="135"/>
      <c r="N5" s="135"/>
      <c r="O5" s="135"/>
      <c r="P5" s="136"/>
      <c r="R5" s="122" t="s">
        <v>78</v>
      </c>
      <c r="S5" s="122" t="s">
        <v>72</v>
      </c>
      <c r="T5" s="122" t="s">
        <v>73</v>
      </c>
      <c r="U5" s="122" t="s">
        <v>81</v>
      </c>
      <c r="V5" s="122" t="s">
        <v>82</v>
      </c>
    </row>
    <row r="6" spans="1:22">
      <c r="A6" s="80" t="s">
        <v>9</v>
      </c>
      <c r="B6" s="132">
        <v>46</v>
      </c>
      <c r="C6" s="85">
        <v>48.97</v>
      </c>
      <c r="D6" s="132">
        <v>56.94</v>
      </c>
      <c r="E6" s="85">
        <v>48.97</v>
      </c>
      <c r="K6" s="89"/>
      <c r="L6" s="90" t="s">
        <v>61</v>
      </c>
      <c r="M6" s="91" t="s">
        <v>62</v>
      </c>
      <c r="N6" s="92" t="s">
        <v>63</v>
      </c>
      <c r="O6" s="91" t="s">
        <v>64</v>
      </c>
      <c r="P6" s="93" t="s">
        <v>65</v>
      </c>
      <c r="R6" s="122" t="s">
        <v>83</v>
      </c>
      <c r="S6" s="123">
        <v>6.1442169331129198E-2</v>
      </c>
      <c r="T6" s="123">
        <v>2.6830844410820086E-2</v>
      </c>
      <c r="U6" s="123">
        <v>3.8095386727224019E-2</v>
      </c>
      <c r="V6" s="123">
        <v>0.1137685542239983</v>
      </c>
    </row>
    <row r="7" spans="1:22">
      <c r="A7" s="80" t="s">
        <v>36</v>
      </c>
      <c r="B7" s="132">
        <v>79.739999999999995</v>
      </c>
      <c r="C7" s="85">
        <v>85.88</v>
      </c>
      <c r="D7" s="132">
        <v>98.7</v>
      </c>
      <c r="E7" s="85">
        <v>85.88</v>
      </c>
      <c r="K7" s="94" t="s">
        <v>66</v>
      </c>
      <c r="L7" s="95" t="s">
        <v>67</v>
      </c>
      <c r="M7" s="96" t="s">
        <v>68</v>
      </c>
      <c r="N7" s="97" t="s">
        <v>69</v>
      </c>
      <c r="O7" s="96" t="s">
        <v>70</v>
      </c>
      <c r="P7" s="98" t="s">
        <v>71</v>
      </c>
      <c r="R7" s="122" t="s">
        <v>62</v>
      </c>
      <c r="S7" s="123">
        <v>0.12055098686153801</v>
      </c>
      <c r="T7" s="123">
        <v>5.2642750203385526E-2</v>
      </c>
      <c r="U7" s="123">
        <v>7.4744048181125636E-2</v>
      </c>
      <c r="V7" s="123">
        <v>0.22321658943387709</v>
      </c>
    </row>
    <row r="8" spans="1:22">
      <c r="A8" s="80" t="s">
        <v>37</v>
      </c>
      <c r="B8" s="132">
        <v>120.22</v>
      </c>
      <c r="C8" s="85">
        <v>130.16999999999999</v>
      </c>
      <c r="D8" s="132">
        <v>148.83000000000001</v>
      </c>
      <c r="E8" s="85">
        <v>130.16999999999999</v>
      </c>
      <c r="K8" s="99"/>
      <c r="L8" s="100"/>
      <c r="M8" s="101"/>
      <c r="N8" s="102"/>
      <c r="O8" s="101"/>
      <c r="P8" s="103"/>
      <c r="R8" s="121" t="s">
        <v>63</v>
      </c>
      <c r="S8" s="123">
        <v>0.24110197372307701</v>
      </c>
      <c r="T8" s="123">
        <v>0.10528550040677111</v>
      </c>
      <c r="U8" s="123">
        <v>0.14948809636225138</v>
      </c>
      <c r="V8" s="123">
        <v>0.44643317886775441</v>
      </c>
    </row>
    <row r="9" spans="1:22">
      <c r="A9" s="80" t="s">
        <v>38</v>
      </c>
      <c r="B9" s="132">
        <v>214.68</v>
      </c>
      <c r="C9" s="85">
        <v>248.28</v>
      </c>
      <c r="D9" s="132">
        <v>265.74</v>
      </c>
      <c r="E9" s="85">
        <v>248.28</v>
      </c>
      <c r="K9" s="104" t="s">
        <v>72</v>
      </c>
      <c r="L9" s="105">
        <v>6.1442169331129219E-2</v>
      </c>
      <c r="M9" s="106">
        <v>0.12055098686153828</v>
      </c>
      <c r="N9" s="107">
        <v>0.24110197372307673</v>
      </c>
      <c r="O9" s="106">
        <v>0.36165296058461477</v>
      </c>
      <c r="P9" s="108">
        <v>0.58339374980252467</v>
      </c>
      <c r="R9" s="121" t="s">
        <v>64</v>
      </c>
      <c r="S9" s="123">
        <v>0.36165296058461499</v>
      </c>
      <c r="T9" s="123">
        <v>0.15792825061015656</v>
      </c>
      <c r="U9" s="123">
        <v>0.22423214454337689</v>
      </c>
      <c r="V9" s="123">
        <v>0.66964976830163114</v>
      </c>
    </row>
    <row r="10" spans="1:22">
      <c r="A10" s="81" t="s">
        <v>39</v>
      </c>
      <c r="B10" s="132">
        <v>349.62</v>
      </c>
      <c r="C10" s="85">
        <v>381.16</v>
      </c>
      <c r="D10" s="132">
        <v>432.78</v>
      </c>
      <c r="E10" s="85">
        <v>381.16</v>
      </c>
      <c r="K10" s="104" t="s">
        <v>73</v>
      </c>
      <c r="L10" s="105">
        <v>2.6830844410820086E-2</v>
      </c>
      <c r="M10" s="106">
        <v>5.2642750203385526E-2</v>
      </c>
      <c r="N10" s="107">
        <v>0.10528550040677111</v>
      </c>
      <c r="O10" s="106">
        <v>0.15792825061015656</v>
      </c>
      <c r="P10" s="108">
        <v>0.30782924598790223</v>
      </c>
      <c r="R10" s="121" t="s">
        <v>65</v>
      </c>
      <c r="S10" s="123">
        <v>0.58339374980252501</v>
      </c>
      <c r="T10" s="123">
        <v>0.30782924598790223</v>
      </c>
      <c r="U10" s="123">
        <v>0.39751399574150803</v>
      </c>
      <c r="V10" s="123">
        <v>1</v>
      </c>
    </row>
    <row r="11" spans="1:22">
      <c r="A11" s="80" t="s">
        <v>40</v>
      </c>
      <c r="B11" s="132">
        <v>686.96</v>
      </c>
      <c r="C11" s="85">
        <v>750.25</v>
      </c>
      <c r="D11" s="132">
        <v>850.37</v>
      </c>
      <c r="E11" s="85">
        <v>750.25</v>
      </c>
      <c r="K11" s="104" t="s">
        <v>2</v>
      </c>
      <c r="L11" s="105">
        <v>3.8095386727224019E-2</v>
      </c>
      <c r="M11" s="106">
        <v>7.4744048181125636E-2</v>
      </c>
      <c r="N11" s="107">
        <v>0.14948809636225138</v>
      </c>
      <c r="O11" s="106">
        <v>0.22423214454337689</v>
      </c>
      <c r="P11" s="108">
        <v>0.39751399574150803</v>
      </c>
    </row>
    <row r="12" spans="1:22">
      <c r="A12" s="81"/>
      <c r="K12" s="104" t="s">
        <v>74</v>
      </c>
      <c r="L12" s="105">
        <v>0.1137685542239983</v>
      </c>
      <c r="M12" s="106">
        <v>0.22321658943387709</v>
      </c>
      <c r="N12" s="107">
        <v>0.44643317886775441</v>
      </c>
      <c r="O12" s="106">
        <v>0.66964976830163114</v>
      </c>
      <c r="P12" s="108">
        <v>1</v>
      </c>
    </row>
    <row r="13" spans="1:22" ht="15.75" thickBot="1">
      <c r="B13" s="137" t="s">
        <v>49</v>
      </c>
      <c r="C13" s="137"/>
      <c r="D13" s="137" t="s">
        <v>50</v>
      </c>
      <c r="E13" s="137"/>
      <c r="G13" s="138" t="s">
        <v>51</v>
      </c>
      <c r="H13" s="138"/>
      <c r="K13" s="109"/>
      <c r="L13" s="110"/>
      <c r="M13" s="111"/>
      <c r="N13" s="112"/>
      <c r="O13" s="111"/>
      <c r="P13" s="113"/>
    </row>
    <row r="14" spans="1:22">
      <c r="B14" s="87" t="s">
        <v>34</v>
      </c>
      <c r="C14" s="87" t="s">
        <v>46</v>
      </c>
      <c r="D14" s="87" t="s">
        <v>34</v>
      </c>
      <c r="E14" s="87" t="s">
        <v>46</v>
      </c>
      <c r="G14" s="87" t="s">
        <v>34</v>
      </c>
      <c r="H14" s="87" t="s">
        <v>46</v>
      </c>
      <c r="K14" s="114"/>
      <c r="L14" s="115"/>
      <c r="M14" s="115"/>
      <c r="N14" s="116"/>
      <c r="O14" s="117"/>
      <c r="P14" s="115"/>
    </row>
    <row r="15" spans="1:22" ht="15.75" thickBot="1">
      <c r="A15" s="84" t="s">
        <v>35</v>
      </c>
      <c r="B15" s="86"/>
      <c r="C15" s="86"/>
      <c r="D15" s="86"/>
      <c r="E15" s="86"/>
      <c r="H15" s="85"/>
      <c r="K15" s="115"/>
      <c r="L15" s="115"/>
      <c r="M15" s="115"/>
      <c r="N15" s="115"/>
      <c r="O15" s="115"/>
      <c r="P15" s="115"/>
    </row>
    <row r="16" spans="1:22" ht="15.75" thickBot="1">
      <c r="A16" s="83" t="s">
        <v>42</v>
      </c>
      <c r="B16" s="132">
        <v>4.1399999999999997</v>
      </c>
      <c r="C16" s="85">
        <v>3.34</v>
      </c>
      <c r="D16" s="132">
        <v>5.16</v>
      </c>
      <c r="E16" s="85">
        <v>4.16</v>
      </c>
      <c r="G16" s="76">
        <v>10</v>
      </c>
      <c r="H16" s="76">
        <v>26</v>
      </c>
      <c r="K16" s="134" t="s">
        <v>75</v>
      </c>
      <c r="L16" s="135"/>
      <c r="M16" s="135"/>
      <c r="N16" s="135"/>
      <c r="O16" s="135"/>
      <c r="P16" s="136"/>
    </row>
    <row r="17" spans="1:16">
      <c r="A17" s="83" t="s">
        <v>43</v>
      </c>
      <c r="B17" s="132">
        <v>5.46</v>
      </c>
      <c r="C17" s="85">
        <v>6.51</v>
      </c>
      <c r="D17" s="132">
        <v>6.83</v>
      </c>
      <c r="E17" s="85">
        <v>7.33</v>
      </c>
      <c r="G17" s="76">
        <v>55</v>
      </c>
      <c r="H17" s="76">
        <v>48</v>
      </c>
      <c r="K17" s="89"/>
      <c r="L17" s="90" t="s">
        <v>61</v>
      </c>
      <c r="M17" s="91" t="s">
        <v>62</v>
      </c>
      <c r="N17" s="92" t="s">
        <v>63</v>
      </c>
      <c r="O17" s="91" t="s">
        <v>64</v>
      </c>
      <c r="P17" s="93" t="s">
        <v>65</v>
      </c>
    </row>
    <row r="18" spans="1:16">
      <c r="A18" s="83" t="s">
        <v>44</v>
      </c>
      <c r="B18" s="132">
        <v>8.61</v>
      </c>
      <c r="C18" s="85">
        <v>9.58</v>
      </c>
      <c r="D18" s="132">
        <v>10.77</v>
      </c>
      <c r="E18" s="85">
        <v>10.4</v>
      </c>
      <c r="G18" s="76">
        <v>120</v>
      </c>
      <c r="H18" s="76">
        <v>86</v>
      </c>
      <c r="K18" s="94" t="s">
        <v>66</v>
      </c>
      <c r="L18" s="95" t="s">
        <v>67</v>
      </c>
      <c r="M18" s="96" t="s">
        <v>68</v>
      </c>
      <c r="N18" s="97" t="s">
        <v>69</v>
      </c>
      <c r="O18" s="96" t="s">
        <v>70</v>
      </c>
      <c r="P18" s="98" t="s">
        <v>71</v>
      </c>
    </row>
    <row r="19" spans="1:16">
      <c r="A19" s="83" t="s">
        <v>45</v>
      </c>
      <c r="B19" s="132">
        <v>16.63</v>
      </c>
      <c r="C19" s="85">
        <v>13.61</v>
      </c>
      <c r="D19" s="132">
        <v>20.78</v>
      </c>
      <c r="E19" s="85">
        <v>14.43</v>
      </c>
      <c r="H19" s="85"/>
      <c r="K19" s="99"/>
      <c r="L19" s="100"/>
      <c r="M19" s="101"/>
      <c r="N19" s="102"/>
      <c r="O19" s="101"/>
      <c r="P19" s="103"/>
    </row>
    <row r="20" spans="1:16">
      <c r="A20" s="84" t="s">
        <v>41</v>
      </c>
      <c r="B20" s="133"/>
      <c r="C20" s="85"/>
      <c r="D20" s="133"/>
      <c r="E20" s="85"/>
      <c r="K20" s="104" t="s">
        <v>72</v>
      </c>
      <c r="L20" s="118">
        <f>+ROUND((1/(1-L9))*((0.85-(0.35*L9))/0.85),3)</f>
        <v>1.0389999999999999</v>
      </c>
      <c r="M20" s="118">
        <f>+ROUND((1/(1-M9))*((0.85-(0.35*M9))/0.85),3)</f>
        <v>1.081</v>
      </c>
      <c r="N20" s="118">
        <f>+ROUND((1/(1-N9))*((0.85-(0.35*N9))/0.85),3)</f>
        <v>1.1870000000000001</v>
      </c>
      <c r="O20" s="118">
        <f>+ROUND((1/(1-O9))*((0.85-(0.35*O9))/0.85),3)</f>
        <v>1.333</v>
      </c>
      <c r="P20" s="119">
        <f>+ROUND((1/(1-P9))*((0.85-(0.35*P9))/0.85),3)</f>
        <v>1.8240000000000001</v>
      </c>
    </row>
    <row r="21" spans="1:16">
      <c r="A21" s="83" t="s">
        <v>42</v>
      </c>
      <c r="B21" s="132">
        <v>4.1399999999999997</v>
      </c>
      <c r="C21" s="85">
        <v>4.26</v>
      </c>
      <c r="D21" s="132">
        <v>5.16</v>
      </c>
      <c r="E21" s="85">
        <v>5.08</v>
      </c>
      <c r="G21" s="76">
        <v>4</v>
      </c>
      <c r="H21" s="76">
        <v>8</v>
      </c>
      <c r="K21" s="104" t="s">
        <v>73</v>
      </c>
      <c r="L21" s="118">
        <f t="shared" ref="L21:M23" si="0">+ROUND((1/(1-L10))*((0.85-(0.35*L10))/0.85),3)</f>
        <v>1.016</v>
      </c>
      <c r="M21" s="118">
        <f t="shared" si="0"/>
        <v>1.0329999999999999</v>
      </c>
      <c r="N21" s="118">
        <f t="shared" ref="N21:P21" si="1">+ROUND((1/(1-N10))*((0.85-(0.35*N10))/0.85),3)</f>
        <v>1.069</v>
      </c>
      <c r="O21" s="118">
        <f t="shared" si="1"/>
        <v>1.1100000000000001</v>
      </c>
      <c r="P21" s="119">
        <f t="shared" si="1"/>
        <v>1.262</v>
      </c>
    </row>
    <row r="22" spans="1:16">
      <c r="A22" s="83" t="s">
        <v>43</v>
      </c>
      <c r="B22" s="132">
        <v>5.46</v>
      </c>
      <c r="C22" s="85">
        <v>12.17</v>
      </c>
      <c r="D22" s="132">
        <v>6.83</v>
      </c>
      <c r="E22" s="85">
        <v>12.99</v>
      </c>
      <c r="G22" s="76">
        <v>9</v>
      </c>
      <c r="K22" s="104" t="s">
        <v>2</v>
      </c>
      <c r="L22" s="118">
        <f t="shared" si="0"/>
        <v>1.0229999999999999</v>
      </c>
      <c r="M22" s="118">
        <f t="shared" si="0"/>
        <v>1.048</v>
      </c>
      <c r="N22" s="118">
        <f t="shared" ref="N22:P22" si="2">+ROUND((1/(1-N11))*((0.85-(0.35*N11))/0.85),3)</f>
        <v>1.103</v>
      </c>
      <c r="O22" s="118">
        <f t="shared" si="2"/>
        <v>1.17</v>
      </c>
      <c r="P22" s="119">
        <f t="shared" si="2"/>
        <v>1.3879999999999999</v>
      </c>
    </row>
    <row r="23" spans="1:16">
      <c r="A23" s="83" t="s">
        <v>44</v>
      </c>
      <c r="B23" s="132">
        <v>8.61</v>
      </c>
      <c r="C23" s="85" t="s">
        <v>48</v>
      </c>
      <c r="D23" s="132">
        <v>10.77</v>
      </c>
      <c r="E23" s="85" t="s">
        <v>48</v>
      </c>
      <c r="G23" s="76">
        <v>16</v>
      </c>
      <c r="K23" s="104" t="s">
        <v>74</v>
      </c>
      <c r="L23" s="118">
        <f t="shared" si="0"/>
        <v>1.0760000000000001</v>
      </c>
      <c r="M23" s="118">
        <f t="shared" si="0"/>
        <v>1.169</v>
      </c>
      <c r="N23" s="118">
        <f t="shared" ref="N23:O23" si="3">+ROUND((1/(1-N12))*((0.85-(0.35*N12))/0.85),3)</f>
        <v>1.474</v>
      </c>
      <c r="O23" s="118">
        <f t="shared" si="3"/>
        <v>2.1920000000000002</v>
      </c>
      <c r="P23" s="119"/>
    </row>
    <row r="24" spans="1:16" ht="15.75" thickBot="1">
      <c r="A24" s="83" t="s">
        <v>45</v>
      </c>
      <c r="B24" s="132">
        <v>16.63</v>
      </c>
      <c r="C24" s="85" t="s">
        <v>48</v>
      </c>
      <c r="D24" s="132">
        <v>20.78</v>
      </c>
      <c r="E24" s="85" t="s">
        <v>48</v>
      </c>
      <c r="K24" s="109"/>
      <c r="L24" s="110"/>
      <c r="M24" s="111"/>
      <c r="N24" s="112"/>
      <c r="O24" s="111"/>
      <c r="P24" s="120"/>
    </row>
    <row r="25" spans="1:16">
      <c r="A25" s="84" t="s">
        <v>2</v>
      </c>
      <c r="B25" s="133"/>
      <c r="C25" s="85"/>
      <c r="D25" s="133"/>
      <c r="E25" s="85"/>
      <c r="K25" s="114" t="s">
        <v>76</v>
      </c>
      <c r="L25" s="115"/>
      <c r="M25" s="115"/>
      <c r="N25" s="115"/>
      <c r="O25" s="115"/>
      <c r="P25" s="115"/>
    </row>
    <row r="26" spans="1:16">
      <c r="A26" s="82" t="s">
        <v>42</v>
      </c>
      <c r="B26" s="132">
        <v>7.07</v>
      </c>
      <c r="C26" s="85">
        <v>6.63</v>
      </c>
      <c r="D26" s="132">
        <v>8.84</v>
      </c>
      <c r="E26" s="85">
        <v>7.45</v>
      </c>
    </row>
    <row r="27" spans="1:16">
      <c r="B27" s="133"/>
      <c r="D27" s="133"/>
    </row>
    <row r="28" spans="1:16">
      <c r="A28" s="78" t="s">
        <v>59</v>
      </c>
      <c r="B28" s="132">
        <v>0</v>
      </c>
      <c r="C28" s="85">
        <v>0.23</v>
      </c>
      <c r="D28" s="132">
        <v>0</v>
      </c>
      <c r="E28" s="85">
        <v>0.38</v>
      </c>
    </row>
    <row r="30" spans="1:16">
      <c r="B30" s="74" t="s">
        <v>32</v>
      </c>
    </row>
    <row r="31" spans="1:16">
      <c r="B31" s="74" t="s">
        <v>16</v>
      </c>
    </row>
    <row r="32" spans="1:16">
      <c r="B32" s="74" t="s">
        <v>33</v>
      </c>
    </row>
  </sheetData>
  <mergeCells count="7">
    <mergeCell ref="K5:P5"/>
    <mergeCell ref="K16:P16"/>
    <mergeCell ref="B4:C4"/>
    <mergeCell ref="D4:E4"/>
    <mergeCell ref="B13:C13"/>
    <mergeCell ref="D13:E13"/>
    <mergeCell ref="G13:H13"/>
  </mergeCells>
  <printOptions headings="1"/>
  <pageMargins left="0.31" right="0.17" top="0.33" bottom="0.43" header="0.2" footer="0.16"/>
  <pageSetup orientation="landscape" r:id="rId1"/>
  <headerFooter>
    <oddFooter>&amp;LHF&amp;&amp;H Consultants, LLC
&amp;D  &amp;T&amp;R&amp;A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Single Family &amp; Duplexes</vt:lpstr>
      <vt:lpstr>Multi Family 3+ units</vt:lpstr>
      <vt:lpstr>Commmercial</vt:lpstr>
      <vt:lpstr>Rates_DO NOT DELETE</vt:lpstr>
      <vt:lpstr>'Rates_DO NOT DELETE'!Print_Area</vt:lpstr>
      <vt:lpstr>'Single Family &amp; Duplexes'!Print_Area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Simonson</dc:creator>
  <cp:lastModifiedBy>Michael Hensley</cp:lastModifiedBy>
  <cp:lastPrinted>2018-11-07T22:46:34Z</cp:lastPrinted>
  <dcterms:created xsi:type="dcterms:W3CDTF">2017-09-12T18:20:56Z</dcterms:created>
  <dcterms:modified xsi:type="dcterms:W3CDTF">2019-01-28T23:59:14Z</dcterms:modified>
</cp:coreProperties>
</file>